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695" activeTab="2"/>
  </bookViews>
  <sheets>
    <sheet name="Graphs for presentation" sheetId="10" r:id="rId1"/>
    <sheet name="1.RSP Districts " sheetId="2" r:id="rId2"/>
    <sheet name="2. Overall com progres Sept 13" sheetId="5" r:id="rId3"/>
    <sheet name="2. Overall com progresJune(ref)" sheetId="12" r:id="rId4"/>
    <sheet name="Cummulative Progress since 82" sheetId="13" r:id="rId5"/>
    <sheet name="graphs" sheetId="14" r:id="rId6"/>
    <sheet name="Value in dolars " sheetId="15" r:id="rId7"/>
    <sheet name="Exchange rates" sheetId="1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" hidden="1">'1.RSP Districts '!$A$3:$T$227</definedName>
    <definedName name="_xlnm._FilterDatabase" localSheetId="2" hidden="1">'2. Overall com progres Sept 13'!#REF!</definedName>
    <definedName name="_xlnm._FilterDatabase" localSheetId="3" hidden="1">'2. Overall com progresJune(ref)'!#REF!</definedName>
    <definedName name="_xlnm.Print_Area" localSheetId="2">'2. Overall com progres Sept 13'!$A$1:$M$54</definedName>
    <definedName name="_xlnm.Print_Area" localSheetId="3">'2. Overall com progresJune(ref)'!$A$1:$M$54</definedName>
    <definedName name="_xlnm.Print_Titles" localSheetId="1">'1.RSP Districts '!$1:$3</definedName>
    <definedName name="_xlnm.Print_Titles" localSheetId="2">'2. Overall com progres Sept 13'!$1:$3</definedName>
    <definedName name="_xlnm.Print_Titles" localSheetId="3">'2. Overall com progresJune(ref)'!$1:$3</definedName>
  </definedNames>
  <calcPr calcId="145621"/>
</workbook>
</file>

<file path=xl/calcChain.xml><?xml version="1.0" encoding="utf-8"?>
<calcChain xmlns="http://schemas.openxmlformats.org/spreadsheetml/2006/main">
  <c r="K35" i="5" l="1"/>
  <c r="K34" i="5"/>
  <c r="AG27" i="15" l="1"/>
  <c r="AG28" i="15" s="1"/>
  <c r="AF27" i="15"/>
  <c r="AF28" i="15" s="1"/>
  <c r="AE27" i="15"/>
  <c r="AE28" i="15" s="1"/>
  <c r="AD27" i="15"/>
  <c r="AC27" i="15"/>
  <c r="AC28" i="15" s="1"/>
  <c r="AB27" i="15"/>
  <c r="AB28" i="15" s="1"/>
  <c r="AA27" i="15"/>
  <c r="AA28" i="15" s="1"/>
  <c r="Z27" i="15"/>
  <c r="Z28" i="15" s="1"/>
  <c r="Y27" i="15"/>
  <c r="Y28" i="15" s="1"/>
  <c r="X27" i="15"/>
  <c r="X28" i="15" s="1"/>
  <c r="W27" i="15"/>
  <c r="W28" i="15" s="1"/>
  <c r="V27" i="15"/>
  <c r="U27" i="15"/>
  <c r="U28" i="15" s="1"/>
  <c r="T27" i="15"/>
  <c r="T28" i="15" s="1"/>
  <c r="S27" i="15"/>
  <c r="S28" i="15" s="1"/>
  <c r="R27" i="15"/>
  <c r="R28" i="15" s="1"/>
  <c r="Q27" i="15"/>
  <c r="Q28" i="15" s="1"/>
  <c r="P27" i="15"/>
  <c r="P28" i="15" s="1"/>
  <c r="O27" i="15"/>
  <c r="O28" i="15" s="1"/>
  <c r="N27" i="15"/>
  <c r="M27" i="15"/>
  <c r="M28" i="15" s="1"/>
  <c r="L27" i="15"/>
  <c r="L28" i="15" s="1"/>
  <c r="K27" i="15"/>
  <c r="K28" i="15" s="1"/>
  <c r="J27" i="15"/>
  <c r="J28" i="15" s="1"/>
  <c r="I27" i="15"/>
  <c r="I28" i="15" s="1"/>
  <c r="H27" i="15"/>
  <c r="H28" i="15" s="1"/>
  <c r="G27" i="15"/>
  <c r="G28" i="15" s="1"/>
  <c r="F27" i="15"/>
  <c r="E27" i="15"/>
  <c r="AH27" i="15" s="1"/>
  <c r="D27" i="15"/>
  <c r="D28" i="15" s="1"/>
  <c r="AG25" i="15"/>
  <c r="AC25" i="15"/>
  <c r="Y25" i="15"/>
  <c r="U25" i="15"/>
  <c r="Q25" i="15"/>
  <c r="M25" i="15"/>
  <c r="I25" i="15"/>
  <c r="E25" i="15"/>
  <c r="AC24" i="15"/>
  <c r="AC26" i="15" s="1"/>
  <c r="Y24" i="15"/>
  <c r="Y26" i="15" s="1"/>
  <c r="U24" i="15"/>
  <c r="U26" i="15" s="1"/>
  <c r="Q24" i="15"/>
  <c r="Q26" i="15" s="1"/>
  <c r="M24" i="15"/>
  <c r="M26" i="15" s="1"/>
  <c r="I24" i="15"/>
  <c r="I26" i="15" s="1"/>
  <c r="E24" i="15"/>
  <c r="E26" i="15" s="1"/>
  <c r="AC23" i="15"/>
  <c r="Y23" i="15"/>
  <c r="U23" i="15"/>
  <c r="Q23" i="15"/>
  <c r="M23" i="15"/>
  <c r="I23" i="15"/>
  <c r="E23" i="15"/>
  <c r="C23" i="15"/>
  <c r="AG22" i="15"/>
  <c r="AF22" i="15"/>
  <c r="AF25" i="15" s="1"/>
  <c r="AE22" i="15"/>
  <c r="AD22" i="15"/>
  <c r="AC22" i="15"/>
  <c r="AB22" i="15"/>
  <c r="AB25" i="15" s="1"/>
  <c r="AA22" i="15"/>
  <c r="Z22" i="15"/>
  <c r="Y22" i="15"/>
  <c r="X22" i="15"/>
  <c r="X25" i="15" s="1"/>
  <c r="W22" i="15"/>
  <c r="V22" i="15"/>
  <c r="U22" i="15"/>
  <c r="T22" i="15"/>
  <c r="T25" i="15" s="1"/>
  <c r="S22" i="15"/>
  <c r="R22" i="15"/>
  <c r="Q22" i="15"/>
  <c r="P22" i="15"/>
  <c r="P25" i="15" s="1"/>
  <c r="O22" i="15"/>
  <c r="N22" i="15"/>
  <c r="M22" i="15"/>
  <c r="L22" i="15"/>
  <c r="L25" i="15" s="1"/>
  <c r="K22" i="15"/>
  <c r="J22" i="15"/>
  <c r="I22" i="15"/>
  <c r="H22" i="15"/>
  <c r="H25" i="15" s="1"/>
  <c r="G22" i="15"/>
  <c r="F22" i="15"/>
  <c r="E22" i="15"/>
  <c r="D22" i="15"/>
  <c r="AH22" i="15" s="1"/>
  <c r="AF21" i="15"/>
  <c r="AF24" i="15" s="1"/>
  <c r="AF26" i="15" s="1"/>
  <c r="AE21" i="15"/>
  <c r="AD21" i="15"/>
  <c r="AC21" i="15"/>
  <c r="AB21" i="15"/>
  <c r="AB24" i="15" s="1"/>
  <c r="AB26" i="15" s="1"/>
  <c r="AA21" i="15"/>
  <c r="Z21" i="15"/>
  <c r="Y21" i="15"/>
  <c r="X21" i="15"/>
  <c r="X24" i="15" s="1"/>
  <c r="X26" i="15" s="1"/>
  <c r="W21" i="15"/>
  <c r="V21" i="15"/>
  <c r="U21" i="15"/>
  <c r="T21" i="15"/>
  <c r="T24" i="15" s="1"/>
  <c r="T26" i="15" s="1"/>
  <c r="S21" i="15"/>
  <c r="R21" i="15"/>
  <c r="Q21" i="15"/>
  <c r="P21" i="15"/>
  <c r="P24" i="15" s="1"/>
  <c r="P26" i="15" s="1"/>
  <c r="O21" i="15"/>
  <c r="N21" i="15"/>
  <c r="M21" i="15"/>
  <c r="L21" i="15"/>
  <c r="L24" i="15" s="1"/>
  <c r="L26" i="15" s="1"/>
  <c r="K21" i="15"/>
  <c r="J21" i="15"/>
  <c r="I21" i="15"/>
  <c r="H21" i="15"/>
  <c r="H24" i="15" s="1"/>
  <c r="H26" i="15" s="1"/>
  <c r="G21" i="15"/>
  <c r="F21" i="15"/>
  <c r="E21" i="15"/>
  <c r="D21" i="15"/>
  <c r="AF19" i="15"/>
  <c r="AF20" i="15" s="1"/>
  <c r="AE19" i="15"/>
  <c r="AE20" i="15" s="1"/>
  <c r="AD19" i="15"/>
  <c r="AC19" i="15"/>
  <c r="AC20" i="15" s="1"/>
  <c r="AB19" i="15"/>
  <c r="AB20" i="15" s="1"/>
  <c r="AA19" i="15"/>
  <c r="AA20" i="15" s="1"/>
  <c r="Z19" i="15"/>
  <c r="Y19" i="15"/>
  <c r="Y20" i="15" s="1"/>
  <c r="X19" i="15"/>
  <c r="X20" i="15" s="1"/>
  <c r="W19" i="15"/>
  <c r="W20" i="15" s="1"/>
  <c r="V19" i="15"/>
  <c r="U19" i="15"/>
  <c r="U20" i="15" s="1"/>
  <c r="T19" i="15"/>
  <c r="T20" i="15" s="1"/>
  <c r="S19" i="15"/>
  <c r="S20" i="15" s="1"/>
  <c r="R19" i="15"/>
  <c r="Q19" i="15"/>
  <c r="Q20" i="15" s="1"/>
  <c r="P19" i="15"/>
  <c r="P20" i="15" s="1"/>
  <c r="O19" i="15"/>
  <c r="O20" i="15" s="1"/>
  <c r="N19" i="15"/>
  <c r="M19" i="15"/>
  <c r="M20" i="15" s="1"/>
  <c r="L19" i="15"/>
  <c r="L20" i="15" s="1"/>
  <c r="K19" i="15"/>
  <c r="K20" i="15" s="1"/>
  <c r="J19" i="15"/>
  <c r="I19" i="15"/>
  <c r="I20" i="15" s="1"/>
  <c r="H19" i="15"/>
  <c r="H20" i="15" s="1"/>
  <c r="G19" i="15"/>
  <c r="G20" i="15" s="1"/>
  <c r="F19" i="15"/>
  <c r="E19" i="15"/>
  <c r="E20" i="15" s="1"/>
  <c r="D19" i="15"/>
  <c r="D20" i="15" s="1"/>
  <c r="V16" i="15"/>
  <c r="J16" i="15"/>
  <c r="AD15" i="15"/>
  <c r="Z15" i="15"/>
  <c r="V15" i="15"/>
  <c r="R15" i="15"/>
  <c r="N15" i="15"/>
  <c r="J15" i="15"/>
  <c r="F15" i="15"/>
  <c r="C15" i="15"/>
  <c r="AG14" i="15"/>
  <c r="AG17" i="15" s="1"/>
  <c r="AF14" i="15"/>
  <c r="AF17" i="15" s="1"/>
  <c r="AE14" i="15"/>
  <c r="AE17" i="15" s="1"/>
  <c r="AD14" i="15"/>
  <c r="AC14" i="15"/>
  <c r="AC17" i="15" s="1"/>
  <c r="AB14" i="15"/>
  <c r="AB17" i="15" s="1"/>
  <c r="AA14" i="15"/>
  <c r="AA17" i="15" s="1"/>
  <c r="Z14" i="15"/>
  <c r="Y14" i="15"/>
  <c r="Y17" i="15" s="1"/>
  <c r="X14" i="15"/>
  <c r="X17" i="15" s="1"/>
  <c r="W14" i="15"/>
  <c r="W17" i="15" s="1"/>
  <c r="V14" i="15"/>
  <c r="U14" i="15"/>
  <c r="U17" i="15" s="1"/>
  <c r="T14" i="15"/>
  <c r="T17" i="15" s="1"/>
  <c r="S14" i="15"/>
  <c r="S17" i="15" s="1"/>
  <c r="R14" i="15"/>
  <c r="Q14" i="15"/>
  <c r="Q17" i="15" s="1"/>
  <c r="P14" i="15"/>
  <c r="P17" i="15" s="1"/>
  <c r="O14" i="15"/>
  <c r="O17" i="15" s="1"/>
  <c r="N14" i="15"/>
  <c r="M14" i="15"/>
  <c r="M17" i="15" s="1"/>
  <c r="L14" i="15"/>
  <c r="L17" i="15" s="1"/>
  <c r="K14" i="15"/>
  <c r="K17" i="15" s="1"/>
  <c r="J14" i="15"/>
  <c r="I14" i="15"/>
  <c r="I17" i="15" s="1"/>
  <c r="H14" i="15"/>
  <c r="H17" i="15" s="1"/>
  <c r="G14" i="15"/>
  <c r="G17" i="15" s="1"/>
  <c r="F14" i="15"/>
  <c r="E14" i="15"/>
  <c r="D14" i="15"/>
  <c r="D17" i="15" s="1"/>
  <c r="AF13" i="15"/>
  <c r="AE13" i="15"/>
  <c r="AE16" i="15" s="1"/>
  <c r="AD13" i="15"/>
  <c r="AC13" i="15"/>
  <c r="AB13" i="15"/>
  <c r="AA13" i="15"/>
  <c r="AA16" i="15" s="1"/>
  <c r="Z13" i="15"/>
  <c r="Y13" i="15"/>
  <c r="X13" i="15"/>
  <c r="W13" i="15"/>
  <c r="W16" i="15" s="1"/>
  <c r="V13" i="15"/>
  <c r="U13" i="15"/>
  <c r="T13" i="15"/>
  <c r="S13" i="15"/>
  <c r="S16" i="15" s="1"/>
  <c r="R13" i="15"/>
  <c r="Q13" i="15"/>
  <c r="P13" i="15"/>
  <c r="O13" i="15"/>
  <c r="O16" i="15" s="1"/>
  <c r="N13" i="15"/>
  <c r="M13" i="15"/>
  <c r="L13" i="15"/>
  <c r="K13" i="15"/>
  <c r="K16" i="15" s="1"/>
  <c r="J13" i="15"/>
  <c r="I13" i="15"/>
  <c r="H13" i="15"/>
  <c r="G13" i="15"/>
  <c r="G16" i="15" s="1"/>
  <c r="F13" i="15"/>
  <c r="E13" i="15"/>
  <c r="D13" i="15"/>
  <c r="AG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G9" i="15"/>
  <c r="AG8" i="15"/>
  <c r="AG21" i="15" s="1"/>
  <c r="AG7" i="15"/>
  <c r="AG19" i="15" s="1"/>
  <c r="AG20" i="15" s="1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G5" i="15"/>
  <c r="AG4" i="15"/>
  <c r="AG13" i="15" s="1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N16" i="15" s="1"/>
  <c r="M2" i="15"/>
  <c r="L2" i="15"/>
  <c r="K2" i="15"/>
  <c r="J2" i="15"/>
  <c r="I2" i="15"/>
  <c r="H2" i="15"/>
  <c r="G2" i="15"/>
  <c r="F2" i="15"/>
  <c r="E2" i="15"/>
  <c r="D2" i="15"/>
  <c r="C2" i="15"/>
  <c r="C20" i="15" s="1"/>
  <c r="E196" i="14"/>
  <c r="D196" i="14"/>
  <c r="C196" i="14"/>
  <c r="E190" i="14"/>
  <c r="D190" i="14"/>
  <c r="C190" i="14"/>
  <c r="E189" i="14"/>
  <c r="D189" i="14"/>
  <c r="C189" i="14"/>
  <c r="E175" i="14"/>
  <c r="E174" i="14"/>
  <c r="E173" i="14"/>
  <c r="E164" i="14"/>
  <c r="E141" i="14"/>
  <c r="D141" i="14"/>
  <c r="C141" i="14"/>
  <c r="E140" i="14"/>
  <c r="D140" i="14"/>
  <c r="C140" i="14"/>
  <c r="E139" i="14"/>
  <c r="D139" i="14"/>
  <c r="C139" i="14"/>
  <c r="E120" i="14"/>
  <c r="D120" i="14"/>
  <c r="C120" i="14"/>
  <c r="E119" i="14"/>
  <c r="D119" i="14"/>
  <c r="C119" i="14"/>
  <c r="E118" i="14"/>
  <c r="D118" i="14"/>
  <c r="C118" i="14"/>
  <c r="E105" i="14"/>
  <c r="D105" i="14"/>
  <c r="C105" i="14"/>
  <c r="E104" i="14"/>
  <c r="D104" i="14"/>
  <c r="C104" i="14"/>
  <c r="E103" i="14"/>
  <c r="D103" i="14"/>
  <c r="C103" i="14"/>
  <c r="D86" i="14"/>
  <c r="C86" i="14"/>
  <c r="E85" i="14"/>
  <c r="D85" i="14"/>
  <c r="C85" i="14"/>
  <c r="D84" i="14"/>
  <c r="C84" i="14"/>
  <c r="D83" i="14"/>
  <c r="C83" i="14"/>
  <c r="E78" i="14"/>
  <c r="E86" i="14" s="1"/>
  <c r="E77" i="14"/>
  <c r="E76" i="14"/>
  <c r="E84" i="14" s="1"/>
  <c r="E75" i="14"/>
  <c r="E83" i="14" s="1"/>
  <c r="E57" i="14"/>
  <c r="D57" i="14"/>
  <c r="C57" i="14"/>
  <c r="E52" i="14"/>
  <c r="E31" i="14"/>
  <c r="D31" i="14"/>
  <c r="C31" i="14"/>
  <c r="E27" i="14"/>
  <c r="W8" i="14"/>
  <c r="W5" i="14"/>
  <c r="V5" i="14"/>
  <c r="V8" i="14" s="1"/>
  <c r="U5" i="14"/>
  <c r="U8" i="14" s="1"/>
  <c r="E5" i="14"/>
  <c r="D5" i="14"/>
  <c r="C5" i="14"/>
  <c r="E2" i="14"/>
  <c r="AG16" i="15" l="1"/>
  <c r="AG15" i="15"/>
  <c r="AG24" i="15"/>
  <c r="AG26" i="15" s="1"/>
  <c r="AG23" i="15"/>
  <c r="E17" i="15"/>
  <c r="AH14" i="15"/>
  <c r="M18" i="15"/>
  <c r="U18" i="15"/>
  <c r="AC18" i="15"/>
  <c r="AG18" i="15"/>
  <c r="F20" i="15"/>
  <c r="F28" i="15"/>
  <c r="F17" i="15"/>
  <c r="J17" i="15"/>
  <c r="J18" i="15" s="1"/>
  <c r="J20" i="15"/>
  <c r="N20" i="15"/>
  <c r="AH20" i="15" s="1"/>
  <c r="N28" i="15"/>
  <c r="N17" i="15"/>
  <c r="N18" i="15" s="1"/>
  <c r="R17" i="15"/>
  <c r="R16" i="15"/>
  <c r="R20" i="15"/>
  <c r="V20" i="15"/>
  <c r="V28" i="15"/>
  <c r="V17" i="15"/>
  <c r="V18" i="15" s="1"/>
  <c r="Z17" i="15"/>
  <c r="Z16" i="15"/>
  <c r="Z20" i="15"/>
  <c r="AD20" i="15"/>
  <c r="AD28" i="15"/>
  <c r="AD17" i="15"/>
  <c r="AD18" i="15" s="1"/>
  <c r="AD16" i="15"/>
  <c r="AG6" i="15"/>
  <c r="E16" i="15"/>
  <c r="E15" i="15"/>
  <c r="I16" i="15"/>
  <c r="I18" i="15" s="1"/>
  <c r="I15" i="15"/>
  <c r="M16" i="15"/>
  <c r="M15" i="15"/>
  <c r="Q16" i="15"/>
  <c r="Q18" i="15" s="1"/>
  <c r="Q15" i="15"/>
  <c r="U16" i="15"/>
  <c r="U15" i="15"/>
  <c r="Y16" i="15"/>
  <c r="Y18" i="15" s="1"/>
  <c r="Y15" i="15"/>
  <c r="AC16" i="15"/>
  <c r="AC15" i="15"/>
  <c r="G18" i="15"/>
  <c r="K18" i="15"/>
  <c r="O18" i="15"/>
  <c r="S18" i="15"/>
  <c r="W18" i="15"/>
  <c r="AA18" i="15"/>
  <c r="AE18" i="15"/>
  <c r="F16" i="15"/>
  <c r="AH19" i="15"/>
  <c r="G24" i="15"/>
  <c r="G23" i="15"/>
  <c r="K24" i="15"/>
  <c r="K26" i="15" s="1"/>
  <c r="K23" i="15"/>
  <c r="O24" i="15"/>
  <c r="O26" i="15" s="1"/>
  <c r="O23" i="15"/>
  <c r="S24" i="15"/>
  <c r="S26" i="15" s="1"/>
  <c r="S23" i="15"/>
  <c r="W24" i="15"/>
  <c r="W23" i="15"/>
  <c r="AA24" i="15"/>
  <c r="AA26" i="15" s="1"/>
  <c r="AA23" i="15"/>
  <c r="AE24" i="15"/>
  <c r="AE26" i="15" s="1"/>
  <c r="AE23" i="15"/>
  <c r="F25" i="15"/>
  <c r="J25" i="15"/>
  <c r="N25" i="15"/>
  <c r="R25" i="15"/>
  <c r="V25" i="15"/>
  <c r="Z25" i="15"/>
  <c r="AD25" i="15"/>
  <c r="E28" i="15"/>
  <c r="D16" i="15"/>
  <c r="D15" i="15"/>
  <c r="AH13" i="15"/>
  <c r="AH15" i="15" s="1"/>
  <c r="H16" i="15"/>
  <c r="H15" i="15"/>
  <c r="L16" i="15"/>
  <c r="L15" i="15"/>
  <c r="P16" i="15"/>
  <c r="P15" i="15"/>
  <c r="T16" i="15"/>
  <c r="T15" i="15"/>
  <c r="X16" i="15"/>
  <c r="X15" i="15"/>
  <c r="AB16" i="15"/>
  <c r="AB15" i="15"/>
  <c r="AF16" i="15"/>
  <c r="AF15" i="15"/>
  <c r="AH21" i="15"/>
  <c r="AH23" i="15" s="1"/>
  <c r="G25" i="15"/>
  <c r="K25" i="15"/>
  <c r="O25" i="15"/>
  <c r="S25" i="15"/>
  <c r="W25" i="15"/>
  <c r="AA25" i="15"/>
  <c r="AE25" i="15"/>
  <c r="D23" i="15"/>
  <c r="L23" i="15"/>
  <c r="T23" i="15"/>
  <c r="AB23" i="15"/>
  <c r="D24" i="15"/>
  <c r="D25" i="15"/>
  <c r="C25" i="15"/>
  <c r="C24" i="15"/>
  <c r="C28" i="15"/>
  <c r="C17" i="15"/>
  <c r="C16" i="15"/>
  <c r="D18" i="15"/>
  <c r="H18" i="15"/>
  <c r="L18" i="15"/>
  <c r="P18" i="15"/>
  <c r="T18" i="15"/>
  <c r="X18" i="15"/>
  <c r="AB18" i="15"/>
  <c r="AF18" i="15"/>
  <c r="F24" i="15"/>
  <c r="F26" i="15" s="1"/>
  <c r="J24" i="15"/>
  <c r="J26" i="15" s="1"/>
  <c r="N24" i="15"/>
  <c r="N26" i="15" s="1"/>
  <c r="R24" i="15"/>
  <c r="R26" i="15" s="1"/>
  <c r="V24" i="15"/>
  <c r="V26" i="15" s="1"/>
  <c r="Z24" i="15"/>
  <c r="Z26" i="15" s="1"/>
  <c r="AD24" i="15"/>
  <c r="AD26" i="15" s="1"/>
  <c r="H23" i="15"/>
  <c r="P23" i="15"/>
  <c r="X23" i="15"/>
  <c r="AF23" i="15"/>
  <c r="AG10" i="15"/>
  <c r="G15" i="15"/>
  <c r="K15" i="15"/>
  <c r="O15" i="15"/>
  <c r="S15" i="15"/>
  <c r="W15" i="15"/>
  <c r="AA15" i="15"/>
  <c r="AE15" i="15"/>
  <c r="F23" i="15"/>
  <c r="J23" i="15"/>
  <c r="N23" i="15"/>
  <c r="R23" i="15"/>
  <c r="V23" i="15"/>
  <c r="Z23" i="15"/>
  <c r="AD23" i="15"/>
  <c r="W26" i="15" l="1"/>
  <c r="G26" i="15"/>
  <c r="AH28" i="15"/>
  <c r="D26" i="15"/>
  <c r="R18" i="15"/>
  <c r="C18" i="15"/>
  <c r="AH17" i="15"/>
  <c r="C26" i="15"/>
  <c r="AH24" i="15"/>
  <c r="AH16" i="15"/>
  <c r="AH25" i="15"/>
  <c r="Z18" i="15"/>
  <c r="F18" i="15"/>
  <c r="E18" i="15"/>
  <c r="AH18" i="15" l="1"/>
  <c r="AH26" i="15"/>
  <c r="E77" i="2" l="1"/>
  <c r="D77" i="2"/>
  <c r="J154" i="2" l="1"/>
  <c r="E154" i="2"/>
  <c r="D154" i="2"/>
  <c r="C154" i="2"/>
  <c r="J77" i="2"/>
  <c r="C77" i="2"/>
  <c r="I51" i="5"/>
  <c r="I48" i="5"/>
  <c r="I47" i="5"/>
  <c r="I45" i="5"/>
  <c r="I44" i="5"/>
  <c r="I43" i="5"/>
  <c r="I42" i="5"/>
  <c r="I41" i="5"/>
  <c r="I40" i="5"/>
  <c r="I39" i="5"/>
  <c r="I38" i="5"/>
  <c r="I37" i="5"/>
  <c r="I35" i="5"/>
  <c r="I34" i="5"/>
  <c r="I32" i="5"/>
  <c r="I31" i="5"/>
  <c r="I29" i="5"/>
  <c r="I28" i="5"/>
  <c r="I26" i="5"/>
  <c r="I25" i="5"/>
  <c r="I24" i="5"/>
  <c r="I23" i="5"/>
  <c r="I22" i="5"/>
  <c r="I21" i="5"/>
  <c r="I19" i="5"/>
  <c r="I18" i="5"/>
  <c r="I16" i="5"/>
  <c r="I15" i="5"/>
  <c r="I13" i="5"/>
  <c r="I12" i="5"/>
  <c r="I10" i="5"/>
  <c r="I9" i="5"/>
  <c r="I8" i="5"/>
  <c r="C51" i="5"/>
  <c r="C50" i="5"/>
  <c r="C48" i="5"/>
  <c r="C47" i="5"/>
  <c r="C45" i="5"/>
  <c r="C44" i="5"/>
  <c r="C43" i="5"/>
  <c r="C42" i="5"/>
  <c r="C41" i="5"/>
  <c r="C40" i="5"/>
  <c r="C39" i="5"/>
  <c r="C38" i="5"/>
  <c r="C37" i="5"/>
  <c r="C35" i="5"/>
  <c r="C34" i="5"/>
  <c r="C32" i="5"/>
  <c r="C31" i="5"/>
  <c r="C29" i="5"/>
  <c r="C28" i="5"/>
  <c r="C26" i="5"/>
  <c r="C25" i="5"/>
  <c r="C24" i="5"/>
  <c r="C23" i="5"/>
  <c r="C22" i="5"/>
  <c r="C21" i="5"/>
  <c r="C19" i="5"/>
  <c r="C18" i="5"/>
  <c r="C16" i="5"/>
  <c r="C15" i="5"/>
  <c r="C13" i="5"/>
  <c r="C12" i="5"/>
  <c r="C10" i="5"/>
  <c r="C9" i="5"/>
  <c r="C8" i="5"/>
  <c r="E51" i="5" l="1"/>
  <c r="E50" i="5"/>
  <c r="E48" i="5"/>
  <c r="E47" i="5"/>
  <c r="E45" i="5"/>
  <c r="E44" i="5"/>
  <c r="E43" i="5"/>
  <c r="E42" i="5"/>
  <c r="E41" i="5"/>
  <c r="E40" i="5"/>
  <c r="E39" i="5"/>
  <c r="E38" i="5"/>
  <c r="E37" i="5"/>
  <c r="E35" i="5"/>
  <c r="E34" i="5"/>
  <c r="E32" i="5"/>
  <c r="E31" i="5"/>
  <c r="E29" i="5"/>
  <c r="E28" i="5"/>
  <c r="E26" i="5"/>
  <c r="E25" i="5"/>
  <c r="E24" i="5"/>
  <c r="E23" i="5"/>
  <c r="E22" i="5"/>
  <c r="E21" i="5"/>
  <c r="E19" i="5"/>
  <c r="E18" i="5"/>
  <c r="E16" i="5"/>
  <c r="E15" i="5"/>
  <c r="E13" i="5"/>
  <c r="E12" i="5"/>
  <c r="E10" i="5"/>
  <c r="E9" i="5"/>
  <c r="E8" i="5"/>
  <c r="F16" i="5" l="1"/>
  <c r="F15" i="5"/>
  <c r="F51" i="5"/>
  <c r="F50" i="5"/>
  <c r="F48" i="5"/>
  <c r="F47" i="5"/>
  <c r="F45" i="5"/>
  <c r="F44" i="5"/>
  <c r="F43" i="5"/>
  <c r="F42" i="5"/>
  <c r="F41" i="5"/>
  <c r="F40" i="5"/>
  <c r="F39" i="5"/>
  <c r="F38" i="5"/>
  <c r="F37" i="5"/>
  <c r="F35" i="5"/>
  <c r="F34" i="5"/>
  <c r="F32" i="5"/>
  <c r="F31" i="5"/>
  <c r="F29" i="5"/>
  <c r="F28" i="5"/>
  <c r="F26" i="5"/>
  <c r="F25" i="5"/>
  <c r="F24" i="5"/>
  <c r="F23" i="5"/>
  <c r="F22" i="5"/>
  <c r="F21" i="5"/>
  <c r="F19" i="5"/>
  <c r="F18" i="5"/>
  <c r="F13" i="5"/>
  <c r="F12" i="5"/>
  <c r="F10" i="5"/>
  <c r="F9" i="5"/>
  <c r="F8" i="5"/>
  <c r="G51" i="5" l="1"/>
  <c r="G50" i="5"/>
  <c r="G48" i="5"/>
  <c r="G47" i="5"/>
  <c r="G45" i="5"/>
  <c r="G44" i="5"/>
  <c r="G43" i="5"/>
  <c r="G42" i="5"/>
  <c r="G41" i="5"/>
  <c r="G40" i="5"/>
  <c r="G39" i="5"/>
  <c r="G38" i="5"/>
  <c r="G37" i="5"/>
  <c r="G35" i="5"/>
  <c r="G34" i="5"/>
  <c r="G32" i="5"/>
  <c r="G31" i="5"/>
  <c r="G29" i="5"/>
  <c r="G28" i="5"/>
  <c r="G26" i="5"/>
  <c r="G25" i="5"/>
  <c r="G24" i="5"/>
  <c r="G23" i="5"/>
  <c r="G22" i="5"/>
  <c r="G21" i="5"/>
  <c r="G19" i="5"/>
  <c r="G18" i="5"/>
  <c r="G16" i="5"/>
  <c r="G15" i="5"/>
  <c r="G13" i="5"/>
  <c r="G12" i="5"/>
  <c r="G10" i="5"/>
  <c r="G9" i="5"/>
  <c r="G8" i="5"/>
  <c r="H51" i="5" l="1"/>
  <c r="H50" i="5"/>
  <c r="H48" i="5"/>
  <c r="H47" i="5"/>
  <c r="H45" i="5"/>
  <c r="H44" i="5"/>
  <c r="H43" i="5"/>
  <c r="H42" i="5"/>
  <c r="H41" i="5"/>
  <c r="H40" i="5"/>
  <c r="H39" i="5"/>
  <c r="H38" i="5"/>
  <c r="H37" i="5"/>
  <c r="H35" i="5"/>
  <c r="H34" i="5"/>
  <c r="H32" i="5"/>
  <c r="H31" i="5"/>
  <c r="H29" i="5"/>
  <c r="H28" i="5"/>
  <c r="H26" i="5"/>
  <c r="H25" i="5"/>
  <c r="H24" i="5"/>
  <c r="H23" i="5"/>
  <c r="H22" i="5"/>
  <c r="H21" i="5"/>
  <c r="H19" i="5"/>
  <c r="H18" i="5"/>
  <c r="H16" i="5"/>
  <c r="H15" i="5"/>
  <c r="H13" i="5"/>
  <c r="H12" i="5"/>
  <c r="H10" i="5"/>
  <c r="H9" i="5"/>
  <c r="H8" i="5"/>
  <c r="J51" i="5" l="1"/>
  <c r="J50" i="5"/>
  <c r="J48" i="5"/>
  <c r="J47" i="5"/>
  <c r="J45" i="5"/>
  <c r="J44" i="5"/>
  <c r="J43" i="5"/>
  <c r="J42" i="5"/>
  <c r="J41" i="5"/>
  <c r="J40" i="5"/>
  <c r="J39" i="5"/>
  <c r="J38" i="5"/>
  <c r="J37" i="5"/>
  <c r="J35" i="5"/>
  <c r="J34" i="5"/>
  <c r="J32" i="5"/>
  <c r="J31" i="5"/>
  <c r="J29" i="5"/>
  <c r="J28" i="5"/>
  <c r="J26" i="5"/>
  <c r="J25" i="5"/>
  <c r="J24" i="5"/>
  <c r="J23" i="5"/>
  <c r="J22" i="5"/>
  <c r="J21" i="5"/>
  <c r="J19" i="5"/>
  <c r="J18" i="5"/>
  <c r="J16" i="5"/>
  <c r="J15" i="5"/>
  <c r="J13" i="5"/>
  <c r="J12" i="5"/>
  <c r="J10" i="5"/>
  <c r="J9" i="5"/>
  <c r="J8" i="5"/>
  <c r="K51" i="5" l="1"/>
  <c r="K50" i="5"/>
  <c r="K48" i="5"/>
  <c r="K47" i="5"/>
  <c r="K45" i="5"/>
  <c r="K44" i="5"/>
  <c r="K43" i="5"/>
  <c r="K42" i="5"/>
  <c r="K41" i="5"/>
  <c r="K40" i="5"/>
  <c r="K39" i="5"/>
  <c r="K38" i="5"/>
  <c r="K37" i="5"/>
  <c r="K32" i="5"/>
  <c r="K31" i="5"/>
  <c r="K29" i="5"/>
  <c r="K28" i="5"/>
  <c r="K26" i="5"/>
  <c r="K25" i="5"/>
  <c r="K24" i="5"/>
  <c r="K23" i="5"/>
  <c r="K22" i="5"/>
  <c r="K21" i="5"/>
  <c r="K19" i="5"/>
  <c r="K18" i="5"/>
  <c r="K16" i="5"/>
  <c r="K15" i="5"/>
  <c r="K13" i="5"/>
  <c r="K12" i="5"/>
  <c r="K10" i="5"/>
  <c r="K9" i="5"/>
  <c r="K8" i="5"/>
  <c r="L51" i="5" l="1"/>
  <c r="L50" i="5"/>
  <c r="L48" i="5"/>
  <c r="L47" i="5"/>
  <c r="L45" i="5"/>
  <c r="L44" i="5"/>
  <c r="L43" i="5"/>
  <c r="L42" i="5"/>
  <c r="L41" i="5"/>
  <c r="L40" i="5"/>
  <c r="L39" i="5"/>
  <c r="L38" i="5"/>
  <c r="L37" i="5"/>
  <c r="L35" i="5"/>
  <c r="L34" i="5"/>
  <c r="L32" i="5"/>
  <c r="L31" i="5"/>
  <c r="L29" i="5"/>
  <c r="L28" i="5"/>
  <c r="L26" i="5"/>
  <c r="L25" i="5"/>
  <c r="L24" i="5"/>
  <c r="L23" i="5"/>
  <c r="L22" i="5"/>
  <c r="L21" i="5"/>
  <c r="L19" i="5"/>
  <c r="L18" i="5"/>
  <c r="L16" i="5"/>
  <c r="L15" i="5"/>
  <c r="L13" i="5"/>
  <c r="L12" i="5"/>
  <c r="L10" i="5"/>
  <c r="L9" i="5"/>
  <c r="L8" i="5"/>
  <c r="R53" i="12"/>
  <c r="R52" i="12"/>
  <c r="G52" i="12"/>
  <c r="W52" i="12" s="1"/>
  <c r="W51" i="12"/>
  <c r="T51" i="12"/>
  <c r="R51" i="12"/>
  <c r="L51" i="12"/>
  <c r="K51" i="12"/>
  <c r="AA51" i="12" s="1"/>
  <c r="J51" i="12"/>
  <c r="Z51" i="12" s="1"/>
  <c r="I51" i="12"/>
  <c r="Y51" i="12" s="1"/>
  <c r="H51" i="12"/>
  <c r="X51" i="12" s="1"/>
  <c r="F51" i="12"/>
  <c r="V51" i="12" s="1"/>
  <c r="E51" i="12"/>
  <c r="U51" i="12" s="1"/>
  <c r="D51" i="12"/>
  <c r="C51" i="12"/>
  <c r="Y50" i="12"/>
  <c r="W50" i="12"/>
  <c r="U50" i="12"/>
  <c r="R50" i="12"/>
  <c r="L50" i="12"/>
  <c r="AB50" i="12" s="1"/>
  <c r="K50" i="12"/>
  <c r="AA50" i="12" s="1"/>
  <c r="J50" i="12"/>
  <c r="H50" i="12"/>
  <c r="X50" i="12" s="1"/>
  <c r="F50" i="12"/>
  <c r="V50" i="12" s="1"/>
  <c r="E50" i="12"/>
  <c r="E52" i="12" s="1"/>
  <c r="U52" i="12" s="1"/>
  <c r="D50" i="12"/>
  <c r="T50" i="12" s="1"/>
  <c r="C50" i="12"/>
  <c r="G49" i="12"/>
  <c r="W48" i="12"/>
  <c r="R48" i="12"/>
  <c r="L48" i="12"/>
  <c r="AB48" i="12" s="1"/>
  <c r="K48" i="12"/>
  <c r="AA48" i="12" s="1"/>
  <c r="J48" i="12"/>
  <c r="Z48" i="12" s="1"/>
  <c r="I48" i="12"/>
  <c r="Y48" i="12" s="1"/>
  <c r="H48" i="12"/>
  <c r="X48" i="12" s="1"/>
  <c r="F48" i="12"/>
  <c r="V48" i="12" s="1"/>
  <c r="E48" i="12"/>
  <c r="U48" i="12" s="1"/>
  <c r="D48" i="12"/>
  <c r="T48" i="12" s="1"/>
  <c r="C48" i="12"/>
  <c r="S48" i="12" s="1"/>
  <c r="W47" i="12"/>
  <c r="T47" i="12"/>
  <c r="R47" i="12"/>
  <c r="L47" i="12"/>
  <c r="K47" i="12"/>
  <c r="K49" i="12" s="1"/>
  <c r="AA49" i="12" s="1"/>
  <c r="J47" i="12"/>
  <c r="Z47" i="12" s="1"/>
  <c r="I47" i="12"/>
  <c r="Y47" i="12" s="1"/>
  <c r="H47" i="12"/>
  <c r="H49" i="12" s="1"/>
  <c r="X49" i="12" s="1"/>
  <c r="F47" i="12"/>
  <c r="V47" i="12" s="1"/>
  <c r="E47" i="12"/>
  <c r="U47" i="12" s="1"/>
  <c r="D47" i="12"/>
  <c r="C47" i="12"/>
  <c r="K46" i="12"/>
  <c r="AA46" i="12" s="1"/>
  <c r="G46" i="12"/>
  <c r="W46" i="12" s="1"/>
  <c r="W45" i="12"/>
  <c r="V45" i="12"/>
  <c r="R45" i="12"/>
  <c r="L45" i="12"/>
  <c r="AB45" i="12" s="1"/>
  <c r="K45" i="12"/>
  <c r="AA45" i="12" s="1"/>
  <c r="J45" i="12"/>
  <c r="I45" i="12"/>
  <c r="Y45" i="12" s="1"/>
  <c r="H45" i="12"/>
  <c r="X45" i="12" s="1"/>
  <c r="F45" i="12"/>
  <c r="E45" i="12"/>
  <c r="U45" i="12" s="1"/>
  <c r="D45" i="12"/>
  <c r="T45" i="12" s="1"/>
  <c r="C45" i="12"/>
  <c r="S45" i="12" s="1"/>
  <c r="AA44" i="12"/>
  <c r="X44" i="12"/>
  <c r="W44" i="12"/>
  <c r="R44" i="12"/>
  <c r="L44" i="12"/>
  <c r="K44" i="12"/>
  <c r="J44" i="12"/>
  <c r="Z44" i="12" s="1"/>
  <c r="I44" i="12"/>
  <c r="Y44" i="12" s="1"/>
  <c r="H44" i="12"/>
  <c r="F44" i="12"/>
  <c r="V44" i="12" s="1"/>
  <c r="E44" i="12"/>
  <c r="U44" i="12" s="1"/>
  <c r="D44" i="12"/>
  <c r="D46" i="12" s="1"/>
  <c r="T46" i="12" s="1"/>
  <c r="C44" i="12"/>
  <c r="M44" i="12" s="1"/>
  <c r="W43" i="12"/>
  <c r="V43" i="12"/>
  <c r="R43" i="12"/>
  <c r="L43" i="12"/>
  <c r="AB43" i="12" s="1"/>
  <c r="K43" i="12"/>
  <c r="AA43" i="12" s="1"/>
  <c r="J43" i="12"/>
  <c r="Z43" i="12" s="1"/>
  <c r="I43" i="12"/>
  <c r="Y43" i="12" s="1"/>
  <c r="H43" i="12"/>
  <c r="X43" i="12" s="1"/>
  <c r="F43" i="12"/>
  <c r="E43" i="12"/>
  <c r="U43" i="12" s="1"/>
  <c r="D43" i="12"/>
  <c r="T43" i="12" s="1"/>
  <c r="C43" i="12"/>
  <c r="S43" i="12" s="1"/>
  <c r="AA42" i="12"/>
  <c r="W42" i="12"/>
  <c r="L42" i="12"/>
  <c r="AB42" i="12" s="1"/>
  <c r="K42" i="12"/>
  <c r="J42" i="12"/>
  <c r="Z42" i="12" s="1"/>
  <c r="I42" i="12"/>
  <c r="Y42" i="12" s="1"/>
  <c r="H42" i="12"/>
  <c r="X42" i="12" s="1"/>
  <c r="F42" i="12"/>
  <c r="V42" i="12" s="1"/>
  <c r="E42" i="12"/>
  <c r="U42" i="12" s="1"/>
  <c r="D42" i="12"/>
  <c r="T42" i="12" s="1"/>
  <c r="C42" i="12"/>
  <c r="S42" i="12" s="1"/>
  <c r="W41" i="12"/>
  <c r="U41" i="12"/>
  <c r="R41" i="12"/>
  <c r="L41" i="12"/>
  <c r="AB41" i="12" s="1"/>
  <c r="K41" i="12"/>
  <c r="AA41" i="12" s="1"/>
  <c r="J41" i="12"/>
  <c r="Z41" i="12" s="1"/>
  <c r="I41" i="12"/>
  <c r="Y41" i="12" s="1"/>
  <c r="H41" i="12"/>
  <c r="X41" i="12" s="1"/>
  <c r="F41" i="12"/>
  <c r="V41" i="12" s="1"/>
  <c r="E41" i="12"/>
  <c r="D41" i="12"/>
  <c r="T41" i="12" s="1"/>
  <c r="C41" i="12"/>
  <c r="S41" i="12" s="1"/>
  <c r="W40" i="12"/>
  <c r="L40" i="12"/>
  <c r="AB40" i="12" s="1"/>
  <c r="K40" i="12"/>
  <c r="AA40" i="12" s="1"/>
  <c r="J40" i="12"/>
  <c r="Z40" i="12" s="1"/>
  <c r="I40" i="12"/>
  <c r="Y40" i="12" s="1"/>
  <c r="H40" i="12"/>
  <c r="X40" i="12" s="1"/>
  <c r="F40" i="12"/>
  <c r="V40" i="12" s="1"/>
  <c r="E40" i="12"/>
  <c r="U40" i="12" s="1"/>
  <c r="D40" i="12"/>
  <c r="T40" i="12" s="1"/>
  <c r="C40" i="12"/>
  <c r="Z39" i="12"/>
  <c r="W39" i="12"/>
  <c r="U39" i="12"/>
  <c r="R39" i="12"/>
  <c r="O39" i="12"/>
  <c r="L39" i="12"/>
  <c r="AB39" i="12" s="1"/>
  <c r="K39" i="12"/>
  <c r="AA39" i="12" s="1"/>
  <c r="J39" i="12"/>
  <c r="I39" i="12"/>
  <c r="Y39" i="12" s="1"/>
  <c r="H39" i="12"/>
  <c r="X39" i="12" s="1"/>
  <c r="F39" i="12"/>
  <c r="V39" i="12" s="1"/>
  <c r="E39" i="12"/>
  <c r="D39" i="12"/>
  <c r="T39" i="12" s="1"/>
  <c r="C39" i="12"/>
  <c r="W38" i="12"/>
  <c r="R38" i="12"/>
  <c r="L38" i="12"/>
  <c r="AB38" i="12" s="1"/>
  <c r="K38" i="12"/>
  <c r="AA38" i="12" s="1"/>
  <c r="J38" i="12"/>
  <c r="Z38" i="12" s="1"/>
  <c r="I38" i="12"/>
  <c r="Y38" i="12" s="1"/>
  <c r="H38" i="12"/>
  <c r="X38" i="12" s="1"/>
  <c r="F38" i="12"/>
  <c r="V38" i="12" s="1"/>
  <c r="E38" i="12"/>
  <c r="U38" i="12" s="1"/>
  <c r="D38" i="12"/>
  <c r="T38" i="12" s="1"/>
  <c r="C38" i="12"/>
  <c r="S38" i="12" s="1"/>
  <c r="W37" i="12"/>
  <c r="R37" i="12"/>
  <c r="L37" i="12"/>
  <c r="AB37" i="12" s="1"/>
  <c r="K37" i="12"/>
  <c r="AA37" i="12" s="1"/>
  <c r="J37" i="12"/>
  <c r="Z37" i="12" s="1"/>
  <c r="I37" i="12"/>
  <c r="Y37" i="12" s="1"/>
  <c r="H37" i="12"/>
  <c r="X37" i="12" s="1"/>
  <c r="F37" i="12"/>
  <c r="V37" i="12" s="1"/>
  <c r="E37" i="12"/>
  <c r="U37" i="12" s="1"/>
  <c r="D37" i="12"/>
  <c r="T37" i="12" s="1"/>
  <c r="C37" i="12"/>
  <c r="S37" i="12" s="1"/>
  <c r="K36" i="12"/>
  <c r="AA36" i="12" s="1"/>
  <c r="G36" i="12"/>
  <c r="W36" i="12" s="1"/>
  <c r="Z35" i="12"/>
  <c r="W35" i="12"/>
  <c r="R35" i="12"/>
  <c r="L35" i="12"/>
  <c r="AB35" i="12" s="1"/>
  <c r="K35" i="12"/>
  <c r="AA35" i="12" s="1"/>
  <c r="J35" i="12"/>
  <c r="I35" i="12"/>
  <c r="Y35" i="12" s="1"/>
  <c r="H35" i="12"/>
  <c r="X35" i="12" s="1"/>
  <c r="F35" i="12"/>
  <c r="V35" i="12" s="1"/>
  <c r="E35" i="12"/>
  <c r="U35" i="12" s="1"/>
  <c r="D35" i="12"/>
  <c r="T35" i="12" s="1"/>
  <c r="C35" i="12"/>
  <c r="S35" i="12" s="1"/>
  <c r="W34" i="12"/>
  <c r="R34" i="12"/>
  <c r="L34" i="12"/>
  <c r="L36" i="12" s="1"/>
  <c r="AB36" i="12" s="1"/>
  <c r="K34" i="12"/>
  <c r="AA34" i="12" s="1"/>
  <c r="J34" i="12"/>
  <c r="Z34" i="12" s="1"/>
  <c r="I34" i="12"/>
  <c r="H34" i="12"/>
  <c r="F34" i="12"/>
  <c r="V34" i="12" s="1"/>
  <c r="E34" i="12"/>
  <c r="U34" i="12" s="1"/>
  <c r="D34" i="12"/>
  <c r="C34" i="12"/>
  <c r="W33" i="12"/>
  <c r="L33" i="12"/>
  <c r="AB33" i="12" s="1"/>
  <c r="G33" i="12"/>
  <c r="R33" i="12" s="1"/>
  <c r="W32" i="12"/>
  <c r="R32" i="12"/>
  <c r="L32" i="12"/>
  <c r="AB32" i="12" s="1"/>
  <c r="K32" i="12"/>
  <c r="AA32" i="12" s="1"/>
  <c r="J32" i="12"/>
  <c r="Z32" i="12" s="1"/>
  <c r="I32" i="12"/>
  <c r="Y32" i="12" s="1"/>
  <c r="H32" i="12"/>
  <c r="X32" i="12" s="1"/>
  <c r="F32" i="12"/>
  <c r="V32" i="12" s="1"/>
  <c r="E32" i="12"/>
  <c r="U32" i="12" s="1"/>
  <c r="D32" i="12"/>
  <c r="T32" i="12" s="1"/>
  <c r="C32" i="12"/>
  <c r="M32" i="12" s="1"/>
  <c r="AC32" i="12" s="1"/>
  <c r="W31" i="12"/>
  <c r="R31" i="12"/>
  <c r="L31" i="12"/>
  <c r="AB31" i="12" s="1"/>
  <c r="K31" i="12"/>
  <c r="AA31" i="12" s="1"/>
  <c r="J31" i="12"/>
  <c r="Z31" i="12" s="1"/>
  <c r="I31" i="12"/>
  <c r="H31" i="12"/>
  <c r="H33" i="12" s="1"/>
  <c r="X33" i="12" s="1"/>
  <c r="F31" i="12"/>
  <c r="V31" i="12" s="1"/>
  <c r="E31" i="12"/>
  <c r="D31" i="12"/>
  <c r="T31" i="12" s="1"/>
  <c r="C31" i="12"/>
  <c r="S31" i="12" s="1"/>
  <c r="Z30" i="12"/>
  <c r="R30" i="12"/>
  <c r="G30" i="12"/>
  <c r="W30" i="12" s="1"/>
  <c r="Z29" i="12"/>
  <c r="W29" i="12"/>
  <c r="R29" i="12"/>
  <c r="L29" i="12"/>
  <c r="AB29" i="12" s="1"/>
  <c r="K29" i="12"/>
  <c r="AA29" i="12" s="1"/>
  <c r="J29" i="12"/>
  <c r="I29" i="12"/>
  <c r="Y29" i="12" s="1"/>
  <c r="H29" i="12"/>
  <c r="X29" i="12" s="1"/>
  <c r="F29" i="12"/>
  <c r="V29" i="12" s="1"/>
  <c r="E29" i="12"/>
  <c r="U29" i="12" s="1"/>
  <c r="D29" i="12"/>
  <c r="T29" i="12" s="1"/>
  <c r="C29" i="12"/>
  <c r="Z28" i="12"/>
  <c r="W28" i="12"/>
  <c r="R28" i="12"/>
  <c r="L28" i="12"/>
  <c r="AB28" i="12" s="1"/>
  <c r="K28" i="12"/>
  <c r="J28" i="12"/>
  <c r="J30" i="12" s="1"/>
  <c r="I28" i="12"/>
  <c r="Y28" i="12" s="1"/>
  <c r="H28" i="12"/>
  <c r="F28" i="12"/>
  <c r="E28" i="12"/>
  <c r="E30" i="12" s="1"/>
  <c r="U30" i="12" s="1"/>
  <c r="D28" i="12"/>
  <c r="T28" i="12" s="1"/>
  <c r="C28" i="12"/>
  <c r="S28" i="12" s="1"/>
  <c r="R27" i="12"/>
  <c r="H27" i="12"/>
  <c r="X27" i="12" s="1"/>
  <c r="G27" i="12"/>
  <c r="W27" i="12" s="1"/>
  <c r="W26" i="12"/>
  <c r="R26" i="12"/>
  <c r="L26" i="12"/>
  <c r="AB26" i="12" s="1"/>
  <c r="K26" i="12"/>
  <c r="AA26" i="12" s="1"/>
  <c r="J26" i="12"/>
  <c r="Z26" i="12" s="1"/>
  <c r="I26" i="12"/>
  <c r="Y26" i="12" s="1"/>
  <c r="H26" i="12"/>
  <c r="X26" i="12" s="1"/>
  <c r="F26" i="12"/>
  <c r="V26" i="12" s="1"/>
  <c r="E26" i="12"/>
  <c r="U26" i="12" s="1"/>
  <c r="D26" i="12"/>
  <c r="C26" i="12"/>
  <c r="S26" i="12" s="1"/>
  <c r="AB25" i="12"/>
  <c r="Y25" i="12"/>
  <c r="W25" i="12"/>
  <c r="T25" i="12"/>
  <c r="R25" i="12"/>
  <c r="L25" i="12"/>
  <c r="L27" i="12" s="1"/>
  <c r="AB27" i="12" s="1"/>
  <c r="K25" i="12"/>
  <c r="AA25" i="12" s="1"/>
  <c r="J25" i="12"/>
  <c r="I25" i="12"/>
  <c r="I27" i="12" s="1"/>
  <c r="Y27" i="12" s="1"/>
  <c r="H25" i="12"/>
  <c r="X25" i="12" s="1"/>
  <c r="F25" i="12"/>
  <c r="E25" i="12"/>
  <c r="U25" i="12" s="1"/>
  <c r="D25" i="12"/>
  <c r="D27" i="12" s="1"/>
  <c r="T27" i="12" s="1"/>
  <c r="C25" i="12"/>
  <c r="C27" i="12" s="1"/>
  <c r="S27" i="12" s="1"/>
  <c r="W24" i="12"/>
  <c r="R24" i="12"/>
  <c r="L24" i="12"/>
  <c r="AB24" i="12" s="1"/>
  <c r="K24" i="12"/>
  <c r="AA24" i="12" s="1"/>
  <c r="J24" i="12"/>
  <c r="Z24" i="12" s="1"/>
  <c r="I24" i="12"/>
  <c r="Y24" i="12" s="1"/>
  <c r="H24" i="12"/>
  <c r="X24" i="12" s="1"/>
  <c r="F24" i="12"/>
  <c r="V24" i="12" s="1"/>
  <c r="E24" i="12"/>
  <c r="U24" i="12" s="1"/>
  <c r="D24" i="12"/>
  <c r="T24" i="12" s="1"/>
  <c r="C24" i="12"/>
  <c r="S24" i="12" s="1"/>
  <c r="W23" i="12"/>
  <c r="R23" i="12"/>
  <c r="L23" i="12"/>
  <c r="AB23" i="12" s="1"/>
  <c r="K23" i="12"/>
  <c r="AA23" i="12" s="1"/>
  <c r="J23" i="12"/>
  <c r="Z23" i="12" s="1"/>
  <c r="I23" i="12"/>
  <c r="Y23" i="12" s="1"/>
  <c r="H23" i="12"/>
  <c r="X23" i="12" s="1"/>
  <c r="F23" i="12"/>
  <c r="V23" i="12" s="1"/>
  <c r="E23" i="12"/>
  <c r="U23" i="12" s="1"/>
  <c r="D23" i="12"/>
  <c r="T23" i="12" s="1"/>
  <c r="C23" i="12"/>
  <c r="W22" i="12"/>
  <c r="R22" i="12"/>
  <c r="L22" i="12"/>
  <c r="AB22" i="12" s="1"/>
  <c r="K22" i="12"/>
  <c r="AA22" i="12" s="1"/>
  <c r="J22" i="12"/>
  <c r="Z22" i="12" s="1"/>
  <c r="I22" i="12"/>
  <c r="Y22" i="12" s="1"/>
  <c r="H22" i="12"/>
  <c r="X22" i="12" s="1"/>
  <c r="F22" i="12"/>
  <c r="V22" i="12" s="1"/>
  <c r="E22" i="12"/>
  <c r="U22" i="12" s="1"/>
  <c r="D22" i="12"/>
  <c r="C22" i="12"/>
  <c r="S22" i="12" s="1"/>
  <c r="W21" i="12"/>
  <c r="R21" i="12"/>
  <c r="L21" i="12"/>
  <c r="AB21" i="12" s="1"/>
  <c r="K21" i="12"/>
  <c r="AA21" i="12" s="1"/>
  <c r="J21" i="12"/>
  <c r="Z21" i="12" s="1"/>
  <c r="I21" i="12"/>
  <c r="Y21" i="12" s="1"/>
  <c r="H21" i="12"/>
  <c r="X21" i="12" s="1"/>
  <c r="F21" i="12"/>
  <c r="V21" i="12" s="1"/>
  <c r="E21" i="12"/>
  <c r="U21" i="12" s="1"/>
  <c r="D21" i="12"/>
  <c r="T21" i="12" s="1"/>
  <c r="C21" i="12"/>
  <c r="S21" i="12" s="1"/>
  <c r="W20" i="12"/>
  <c r="G20" i="12"/>
  <c r="R20" i="12" s="1"/>
  <c r="W19" i="12"/>
  <c r="R19" i="12"/>
  <c r="L19" i="12"/>
  <c r="AB19" i="12" s="1"/>
  <c r="K19" i="12"/>
  <c r="AA19" i="12" s="1"/>
  <c r="J19" i="12"/>
  <c r="Z19" i="12" s="1"/>
  <c r="I19" i="12"/>
  <c r="Y19" i="12" s="1"/>
  <c r="H19" i="12"/>
  <c r="X19" i="12" s="1"/>
  <c r="F19" i="12"/>
  <c r="V19" i="12" s="1"/>
  <c r="E19" i="12"/>
  <c r="U19" i="12" s="1"/>
  <c r="D19" i="12"/>
  <c r="C19" i="12"/>
  <c r="S19" i="12" s="1"/>
  <c r="W18" i="12"/>
  <c r="R18" i="12"/>
  <c r="L18" i="12"/>
  <c r="L20" i="12" s="1"/>
  <c r="AB20" i="12" s="1"/>
  <c r="K18" i="12"/>
  <c r="AA18" i="12" s="1"/>
  <c r="J18" i="12"/>
  <c r="I18" i="12"/>
  <c r="I20" i="12" s="1"/>
  <c r="Y20" i="12" s="1"/>
  <c r="H18" i="12"/>
  <c r="X18" i="12" s="1"/>
  <c r="F18" i="12"/>
  <c r="E18" i="12"/>
  <c r="D18" i="12"/>
  <c r="D20" i="12" s="1"/>
  <c r="T20" i="12" s="1"/>
  <c r="C18" i="12"/>
  <c r="C20" i="12" s="1"/>
  <c r="S20" i="12" s="1"/>
  <c r="X17" i="12"/>
  <c r="G17" i="12"/>
  <c r="AB16" i="12"/>
  <c r="W16" i="12"/>
  <c r="R16" i="12"/>
  <c r="P16" i="12"/>
  <c r="L16" i="12"/>
  <c r="K16" i="12"/>
  <c r="AA16" i="12" s="1"/>
  <c r="J16" i="12"/>
  <c r="Z16" i="12" s="1"/>
  <c r="I16" i="12"/>
  <c r="Y16" i="12" s="1"/>
  <c r="H16" i="12"/>
  <c r="H17" i="12" s="1"/>
  <c r="F16" i="12"/>
  <c r="V16" i="12" s="1"/>
  <c r="E16" i="12"/>
  <c r="U16" i="12" s="1"/>
  <c r="D16" i="12"/>
  <c r="T16" i="12" s="1"/>
  <c r="C16" i="12"/>
  <c r="AA15" i="12"/>
  <c r="W15" i="12"/>
  <c r="R15" i="12"/>
  <c r="L15" i="12"/>
  <c r="AB15" i="12" s="1"/>
  <c r="K15" i="12"/>
  <c r="J15" i="12"/>
  <c r="J17" i="12" s="1"/>
  <c r="Z17" i="12" s="1"/>
  <c r="I15" i="12"/>
  <c r="H15" i="12"/>
  <c r="X15" i="12" s="1"/>
  <c r="F15" i="12"/>
  <c r="V15" i="12" s="1"/>
  <c r="E15" i="12"/>
  <c r="U15" i="12" s="1"/>
  <c r="D15" i="12"/>
  <c r="C15" i="12"/>
  <c r="S15" i="12" s="1"/>
  <c r="W14" i="12"/>
  <c r="G14" i="12"/>
  <c r="R14" i="12" s="1"/>
  <c r="W13" i="12"/>
  <c r="U13" i="12"/>
  <c r="T13" i="12"/>
  <c r="R13" i="12"/>
  <c r="L13" i="12"/>
  <c r="AB13" i="12" s="1"/>
  <c r="K13" i="12"/>
  <c r="AA13" i="12" s="1"/>
  <c r="J13" i="12"/>
  <c r="Z13" i="12" s="1"/>
  <c r="I13" i="12"/>
  <c r="Y13" i="12" s="1"/>
  <c r="H13" i="12"/>
  <c r="X13" i="12" s="1"/>
  <c r="F13" i="12"/>
  <c r="V13" i="12" s="1"/>
  <c r="E13" i="12"/>
  <c r="D13" i="12"/>
  <c r="C13" i="12"/>
  <c r="AA12" i="12"/>
  <c r="W12" i="12"/>
  <c r="R12" i="12"/>
  <c r="L12" i="12"/>
  <c r="K12" i="12"/>
  <c r="J12" i="12"/>
  <c r="J14" i="12" s="1"/>
  <c r="Z14" i="12" s="1"/>
  <c r="I12" i="12"/>
  <c r="Y12" i="12" s="1"/>
  <c r="H12" i="12"/>
  <c r="F12" i="12"/>
  <c r="F14" i="12" s="1"/>
  <c r="V14" i="12" s="1"/>
  <c r="E12" i="12"/>
  <c r="U12" i="12" s="1"/>
  <c r="D12" i="12"/>
  <c r="D14" i="12" s="1"/>
  <c r="T14" i="12" s="1"/>
  <c r="C12" i="12"/>
  <c r="R11" i="12"/>
  <c r="K11" i="12"/>
  <c r="AA11" i="12" s="1"/>
  <c r="G11" i="12"/>
  <c r="W11" i="12" s="1"/>
  <c r="W10" i="12"/>
  <c r="V10" i="12"/>
  <c r="R10" i="12"/>
  <c r="L10" i="12"/>
  <c r="AB10" i="12" s="1"/>
  <c r="K10" i="12"/>
  <c r="AA10" i="12" s="1"/>
  <c r="J10" i="12"/>
  <c r="Z10" i="12" s="1"/>
  <c r="I10" i="12"/>
  <c r="Y10" i="12" s="1"/>
  <c r="H10" i="12"/>
  <c r="X10" i="12" s="1"/>
  <c r="F10" i="12"/>
  <c r="E10" i="12"/>
  <c r="U10" i="12" s="1"/>
  <c r="D10" i="12"/>
  <c r="C10" i="12"/>
  <c r="S10" i="12" s="1"/>
  <c r="AB9" i="12"/>
  <c r="AA9" i="12"/>
  <c r="W9" i="12"/>
  <c r="R9" i="12"/>
  <c r="Q9" i="12"/>
  <c r="Q12" i="12" s="1"/>
  <c r="L9" i="12"/>
  <c r="K9" i="12"/>
  <c r="J9" i="12"/>
  <c r="I9" i="12"/>
  <c r="Y9" i="12" s="1"/>
  <c r="H9" i="12"/>
  <c r="X9" i="12" s="1"/>
  <c r="F9" i="12"/>
  <c r="V9" i="12" s="1"/>
  <c r="E9" i="12"/>
  <c r="U9" i="12" s="1"/>
  <c r="D9" i="12"/>
  <c r="C9" i="12"/>
  <c r="S9" i="12" s="1"/>
  <c r="Z8" i="12"/>
  <c r="W8" i="12"/>
  <c r="S8" i="12"/>
  <c r="R8" i="12"/>
  <c r="L8" i="12"/>
  <c r="L11" i="12" s="1"/>
  <c r="K8" i="12"/>
  <c r="AA8" i="12" s="1"/>
  <c r="J8" i="12"/>
  <c r="I8" i="12"/>
  <c r="H8" i="12"/>
  <c r="H11" i="12" s="1"/>
  <c r="X11" i="12" s="1"/>
  <c r="F8" i="12"/>
  <c r="E8" i="12"/>
  <c r="D8" i="12"/>
  <c r="T8" i="12" s="1"/>
  <c r="C8" i="12"/>
  <c r="M8" i="12" s="1"/>
  <c r="AB7" i="12"/>
  <c r="AA7" i="12"/>
  <c r="Z7" i="12"/>
  <c r="Y7" i="12"/>
  <c r="X7" i="12"/>
  <c r="V7" i="12"/>
  <c r="U7" i="12"/>
  <c r="T7" i="12"/>
  <c r="S7" i="12"/>
  <c r="P7" i="12"/>
  <c r="G7" i="12"/>
  <c r="M7" i="12" s="1"/>
  <c r="AC7" i="12" s="1"/>
  <c r="P6" i="12"/>
  <c r="P102" i="2"/>
  <c r="P100" i="2"/>
  <c r="P85" i="2"/>
  <c r="P81" i="2"/>
  <c r="L102" i="2"/>
  <c r="L100" i="2"/>
  <c r="L85" i="2"/>
  <c r="L81" i="2"/>
  <c r="C17" i="12" l="1"/>
  <c r="S17" i="12" s="1"/>
  <c r="C33" i="12"/>
  <c r="S33" i="12" s="1"/>
  <c r="S44" i="12"/>
  <c r="E14" i="12"/>
  <c r="U14" i="12" s="1"/>
  <c r="V12" i="12"/>
  <c r="H20" i="12"/>
  <c r="X20" i="12" s="1"/>
  <c r="F11" i="12"/>
  <c r="V11" i="12" s="1"/>
  <c r="Z12" i="12"/>
  <c r="L17" i="12"/>
  <c r="AB17" i="12" s="1"/>
  <c r="E20" i="12"/>
  <c r="U20" i="12" s="1"/>
  <c r="T18" i="12"/>
  <c r="F30" i="12"/>
  <c r="V30" i="12" s="1"/>
  <c r="K30" i="12"/>
  <c r="AA30" i="12" s="1"/>
  <c r="E33" i="12"/>
  <c r="U33" i="12" s="1"/>
  <c r="U31" i="12"/>
  <c r="K33" i="12"/>
  <c r="AA33" i="12" s="1"/>
  <c r="J36" i="12"/>
  <c r="Z36" i="12" s="1"/>
  <c r="H46" i="12"/>
  <c r="X46" i="12" s="1"/>
  <c r="L46" i="12"/>
  <c r="AB46" i="12" s="1"/>
  <c r="K14" i="12"/>
  <c r="AA14" i="12" s="1"/>
  <c r="E17" i="12"/>
  <c r="U17" i="12" s="1"/>
  <c r="X31" i="12"/>
  <c r="F36" i="12"/>
  <c r="V36" i="12" s="1"/>
  <c r="J52" i="12"/>
  <c r="Z52" i="12" s="1"/>
  <c r="Z50" i="12"/>
  <c r="AB18" i="12"/>
  <c r="L30" i="12"/>
  <c r="AB30" i="12" s="1"/>
  <c r="AB34" i="12"/>
  <c r="T44" i="12"/>
  <c r="F46" i="12"/>
  <c r="V46" i="12" s="1"/>
  <c r="J49" i="12"/>
  <c r="Z49" i="12" s="1"/>
  <c r="L52" i="12"/>
  <c r="AB52" i="12" s="1"/>
  <c r="D52" i="12"/>
  <c r="T52" i="12" s="1"/>
  <c r="M10" i="12"/>
  <c r="AC10" i="12" s="1"/>
  <c r="S18" i="12"/>
  <c r="Y18" i="12"/>
  <c r="S25" i="12"/>
  <c r="M9" i="12"/>
  <c r="AC9" i="12" s="1"/>
  <c r="I14" i="12"/>
  <c r="Y14" i="12" s="1"/>
  <c r="M18" i="12"/>
  <c r="M20" i="12" s="1"/>
  <c r="N20" i="12" s="1"/>
  <c r="M19" i="12"/>
  <c r="AC19" i="12" s="1"/>
  <c r="S32" i="12"/>
  <c r="C46" i="12"/>
  <c r="S46" i="12" s="1"/>
  <c r="I52" i="12"/>
  <c r="Y52" i="12" s="1"/>
  <c r="M11" i="12"/>
  <c r="AC11" i="12" s="1"/>
  <c r="AC8" i="12"/>
  <c r="M12" i="12"/>
  <c r="C14" i="12"/>
  <c r="S14" i="12" s="1"/>
  <c r="S12" i="12"/>
  <c r="H14" i="12"/>
  <c r="X14" i="12" s="1"/>
  <c r="X12" i="12"/>
  <c r="I17" i="12"/>
  <c r="Y17" i="12" s="1"/>
  <c r="Y15" i="12"/>
  <c r="J11" i="12"/>
  <c r="Z11" i="12" s="1"/>
  <c r="Z9" i="12"/>
  <c r="S23" i="12"/>
  <c r="M23" i="12"/>
  <c r="AC23" i="12" s="1"/>
  <c r="R49" i="12"/>
  <c r="W49" i="12"/>
  <c r="I11" i="12"/>
  <c r="Y11" i="12" s="1"/>
  <c r="Y8" i="12"/>
  <c r="C11" i="12"/>
  <c r="S11" i="12" s="1"/>
  <c r="W7" i="12"/>
  <c r="E11" i="12"/>
  <c r="U11" i="12" s="1"/>
  <c r="X8" i="12"/>
  <c r="T9" i="12"/>
  <c r="S13" i="12"/>
  <c r="M13" i="12"/>
  <c r="AC13" i="12" s="1"/>
  <c r="D36" i="12"/>
  <c r="T36" i="12" s="1"/>
  <c r="T34" i="12"/>
  <c r="Y34" i="12"/>
  <c r="I36" i="12"/>
  <c r="Y36" i="12" s="1"/>
  <c r="M34" i="12"/>
  <c r="F52" i="12"/>
  <c r="V52" i="12" s="1"/>
  <c r="L14" i="12"/>
  <c r="AB12" i="12"/>
  <c r="T15" i="12"/>
  <c r="D17" i="12"/>
  <c r="T17" i="12" s="1"/>
  <c r="M15" i="12"/>
  <c r="O11" i="12"/>
  <c r="AB11" i="12"/>
  <c r="R7" i="12"/>
  <c r="D11" i="12"/>
  <c r="T11" i="12" s="1"/>
  <c r="AB8" i="12"/>
  <c r="M21" i="12"/>
  <c r="AC21" i="12" s="1"/>
  <c r="E27" i="12"/>
  <c r="U27" i="12" s="1"/>
  <c r="J27" i="12"/>
  <c r="Z27" i="12" s="1"/>
  <c r="Z25" i="12"/>
  <c r="M48" i="12"/>
  <c r="AC48" i="12" s="1"/>
  <c r="K27" i="12"/>
  <c r="AA27" i="12" s="1"/>
  <c r="AA28" i="12"/>
  <c r="M31" i="12"/>
  <c r="D33" i="12"/>
  <c r="T33" i="12" s="1"/>
  <c r="M40" i="12"/>
  <c r="AC40" i="12" s="1"/>
  <c r="S40" i="12"/>
  <c r="S50" i="12"/>
  <c r="C52" i="12"/>
  <c r="S52" i="12" s="1"/>
  <c r="M50" i="12"/>
  <c r="AB51" i="12"/>
  <c r="H52" i="12"/>
  <c r="X52" i="12" s="1"/>
  <c r="U8" i="12"/>
  <c r="T10" i="12"/>
  <c r="T12" i="12"/>
  <c r="F17" i="12"/>
  <c r="V17" i="12" s="1"/>
  <c r="K17" i="12"/>
  <c r="AA17" i="12" s="1"/>
  <c r="S16" i="12"/>
  <c r="X16" i="12"/>
  <c r="J20" i="12"/>
  <c r="Z20" i="12" s="1"/>
  <c r="Z18" i="12"/>
  <c r="U18" i="12"/>
  <c r="M22" i="12"/>
  <c r="AC22" i="12" s="1"/>
  <c r="C30" i="12"/>
  <c r="S30" i="12" s="1"/>
  <c r="M28" i="12"/>
  <c r="H30" i="12"/>
  <c r="X30" i="12" s="1"/>
  <c r="X28" i="12"/>
  <c r="M29" i="12"/>
  <c r="AC29" i="12" s="1"/>
  <c r="S29" i="12"/>
  <c r="D30" i="12"/>
  <c r="T30" i="12" s="1"/>
  <c r="R36" i="12"/>
  <c r="M45" i="12"/>
  <c r="AC45" i="12" s="1"/>
  <c r="M47" i="12"/>
  <c r="C49" i="12"/>
  <c r="S49" i="12" s="1"/>
  <c r="S47" i="12"/>
  <c r="L49" i="12"/>
  <c r="AB49" i="12" s="1"/>
  <c r="AB47" i="12"/>
  <c r="X47" i="12"/>
  <c r="W17" i="12"/>
  <c r="R17" i="12"/>
  <c r="F27" i="12"/>
  <c r="V27" i="12" s="1"/>
  <c r="V25" i="12"/>
  <c r="V28" i="12"/>
  <c r="I33" i="12"/>
  <c r="Y33" i="12" s="1"/>
  <c r="Y31" i="12"/>
  <c r="M51" i="12"/>
  <c r="AC51" i="12" s="1"/>
  <c r="S51" i="12"/>
  <c r="V8" i="12"/>
  <c r="Z15" i="12"/>
  <c r="M16" i="12"/>
  <c r="AC16" i="12" s="1"/>
  <c r="F20" i="12"/>
  <c r="V20" i="12" s="1"/>
  <c r="V18" i="12"/>
  <c r="K20" i="12"/>
  <c r="AA20" i="12" s="1"/>
  <c r="M24" i="12"/>
  <c r="M25" i="12"/>
  <c r="M26" i="12"/>
  <c r="AC26" i="12" s="1"/>
  <c r="S34" i="12"/>
  <c r="C36" i="12"/>
  <c r="S36" i="12" s="1"/>
  <c r="H36" i="12"/>
  <c r="X36" i="12" s="1"/>
  <c r="X34" i="12"/>
  <c r="J46" i="12"/>
  <c r="Z46" i="12" s="1"/>
  <c r="Z45" i="12"/>
  <c r="D49" i="12"/>
  <c r="T49" i="12" s="1"/>
  <c r="T19" i="12"/>
  <c r="T22" i="12"/>
  <c r="T26" i="12"/>
  <c r="I30" i="12"/>
  <c r="Y30" i="12" s="1"/>
  <c r="M35" i="12"/>
  <c r="AC35" i="12" s="1"/>
  <c r="M37" i="12"/>
  <c r="AC37" i="12" s="1"/>
  <c r="AB44" i="12"/>
  <c r="R46" i="12"/>
  <c r="AA47" i="12"/>
  <c r="U28" i="12"/>
  <c r="M38" i="12"/>
  <c r="AC38" i="12" s="1"/>
  <c r="S39" i="12"/>
  <c r="M39" i="12"/>
  <c r="M42" i="12"/>
  <c r="AC42" i="12" s="1"/>
  <c r="M43" i="12"/>
  <c r="AC43" i="12" s="1"/>
  <c r="AC44" i="12"/>
  <c r="F49" i="12"/>
  <c r="V49" i="12" s="1"/>
  <c r="F33" i="12"/>
  <c r="V33" i="12" s="1"/>
  <c r="J33" i="12"/>
  <c r="Z33" i="12" s="1"/>
  <c r="E36" i="12"/>
  <c r="U36" i="12" s="1"/>
  <c r="M41" i="12"/>
  <c r="E46" i="12"/>
  <c r="U46" i="12" s="1"/>
  <c r="I46" i="12"/>
  <c r="Y46" i="12" s="1"/>
  <c r="E49" i="12"/>
  <c r="U49" i="12" s="1"/>
  <c r="I49" i="12"/>
  <c r="Y49" i="12" s="1"/>
  <c r="K52" i="12"/>
  <c r="AA52" i="12" s="1"/>
  <c r="AC18" i="12" l="1"/>
  <c r="AC20" i="12"/>
  <c r="N18" i="12"/>
  <c r="O18" i="12"/>
  <c r="N8" i="12"/>
  <c r="M27" i="12"/>
  <c r="N25" i="12"/>
  <c r="AC25" i="12"/>
  <c r="O25" i="12"/>
  <c r="AC47" i="12"/>
  <c r="M49" i="12"/>
  <c r="AC49" i="12" s="1"/>
  <c r="M30" i="12"/>
  <c r="AC28" i="12"/>
  <c r="N28" i="12"/>
  <c r="M52" i="12"/>
  <c r="AC52" i="12" s="1"/>
  <c r="AC50" i="12"/>
  <c r="M46" i="12"/>
  <c r="N39" i="12"/>
  <c r="AC39" i="12"/>
  <c r="AC34" i="12"/>
  <c r="N34" i="12"/>
  <c r="M36" i="12"/>
  <c r="N24" i="12"/>
  <c r="AC24" i="12"/>
  <c r="O24" i="12"/>
  <c r="M14" i="12"/>
  <c r="N12" i="12" s="1"/>
  <c r="AC12" i="12"/>
  <c r="AC41" i="12"/>
  <c r="O41" i="12"/>
  <c r="N41" i="12"/>
  <c r="M33" i="12"/>
  <c r="AC31" i="12"/>
  <c r="AC15" i="12"/>
  <c r="M17" i="12"/>
  <c r="AC17" i="12" s="1"/>
  <c r="AB14" i="12"/>
  <c r="O14" i="12"/>
  <c r="AC30" i="12" l="1"/>
  <c r="N30" i="12"/>
  <c r="AC14" i="12"/>
  <c r="N14" i="12"/>
  <c r="N36" i="12"/>
  <c r="AC36" i="12"/>
  <c r="N27" i="12"/>
  <c r="O27" i="12"/>
  <c r="AC27" i="12"/>
  <c r="AC46" i="12"/>
  <c r="N46" i="12"/>
  <c r="AC33" i="12"/>
  <c r="N33" i="12"/>
  <c r="P197" i="2" l="1"/>
  <c r="P192" i="2"/>
  <c r="P189" i="2"/>
  <c r="P188" i="2"/>
  <c r="P186" i="2"/>
  <c r="P75" i="2"/>
  <c r="P71" i="2"/>
  <c r="P70" i="2"/>
  <c r="P68" i="2"/>
  <c r="P67" i="2"/>
  <c r="P65" i="2"/>
  <c r="P64" i="2"/>
  <c r="P61" i="2"/>
  <c r="P60" i="2"/>
  <c r="P59" i="2"/>
  <c r="P57" i="2"/>
  <c r="P55" i="2"/>
  <c r="P54" i="2"/>
  <c r="P53" i="2"/>
  <c r="P52" i="2"/>
  <c r="P51" i="2"/>
  <c r="P49" i="2"/>
  <c r="P47" i="2"/>
  <c r="P45" i="2"/>
  <c r="P43" i="2"/>
  <c r="L197" i="2"/>
  <c r="L192" i="2"/>
  <c r="L189" i="2"/>
  <c r="L188" i="2"/>
  <c r="L186" i="2"/>
  <c r="L75" i="2"/>
  <c r="L71" i="2"/>
  <c r="L70" i="2"/>
  <c r="L68" i="2"/>
  <c r="L67" i="2"/>
  <c r="L65" i="2"/>
  <c r="L64" i="2"/>
  <c r="L61" i="2"/>
  <c r="L60" i="2"/>
  <c r="L59" i="2"/>
  <c r="L57" i="2"/>
  <c r="L55" i="2"/>
  <c r="L54" i="2"/>
  <c r="L53" i="2"/>
  <c r="L52" i="2"/>
  <c r="L51" i="2"/>
  <c r="L49" i="2"/>
  <c r="L47" i="2"/>
  <c r="L213" i="2" s="1"/>
  <c r="K6" i="12" s="1"/>
  <c r="AA6" i="12" s="1"/>
  <c r="L45" i="2"/>
  <c r="L43" i="2"/>
  <c r="I197" i="2"/>
  <c r="I192" i="2"/>
  <c r="I189" i="2"/>
  <c r="I188" i="2"/>
  <c r="I186" i="2"/>
  <c r="I75" i="2"/>
  <c r="I71" i="2"/>
  <c r="I70" i="2"/>
  <c r="I68" i="2"/>
  <c r="I67" i="2"/>
  <c r="I65" i="2"/>
  <c r="I64" i="2"/>
  <c r="I61" i="2"/>
  <c r="I60" i="2"/>
  <c r="I59" i="2"/>
  <c r="I57" i="2"/>
  <c r="I55" i="2"/>
  <c r="I54" i="2"/>
  <c r="I53" i="2"/>
  <c r="I52" i="2"/>
  <c r="I51" i="2"/>
  <c r="I49" i="2"/>
  <c r="I47" i="2"/>
  <c r="I45" i="2"/>
  <c r="I43" i="2"/>
  <c r="E197" i="2"/>
  <c r="E192" i="2"/>
  <c r="E189" i="2"/>
  <c r="E188" i="2"/>
  <c r="E186" i="2"/>
  <c r="E75" i="2"/>
  <c r="E71" i="2"/>
  <c r="E70" i="2"/>
  <c r="E68" i="2"/>
  <c r="E67" i="2"/>
  <c r="E65" i="2"/>
  <c r="E64" i="2"/>
  <c r="E61" i="2"/>
  <c r="E60" i="2"/>
  <c r="E59" i="2"/>
  <c r="E57" i="2"/>
  <c r="E55" i="2"/>
  <c r="E54" i="2"/>
  <c r="E53" i="2"/>
  <c r="E52" i="2"/>
  <c r="E51" i="2"/>
  <c r="E49" i="2"/>
  <c r="E47" i="2"/>
  <c r="E45" i="2"/>
  <c r="E43" i="2"/>
  <c r="P97" i="2" l="1"/>
  <c r="P96" i="2"/>
  <c r="P94" i="2"/>
  <c r="P92" i="2"/>
  <c r="P89" i="2"/>
  <c r="P88" i="2"/>
  <c r="P87" i="2"/>
  <c r="P84" i="2"/>
  <c r="P82" i="2"/>
  <c r="L97" i="2"/>
  <c r="L96" i="2"/>
  <c r="L94" i="2"/>
  <c r="L92" i="2"/>
  <c r="L89" i="2"/>
  <c r="L88" i="2"/>
  <c r="L87" i="2"/>
  <c r="L84" i="2"/>
  <c r="L82" i="2"/>
  <c r="P129" i="2" l="1"/>
  <c r="P128" i="2"/>
  <c r="P126" i="2"/>
  <c r="P125" i="2"/>
  <c r="P122" i="2"/>
  <c r="P121" i="2"/>
  <c r="P119" i="2"/>
  <c r="P118" i="2"/>
  <c r="P117" i="2"/>
  <c r="P116" i="2"/>
  <c r="P115" i="2"/>
  <c r="P114" i="2"/>
  <c r="P112" i="2"/>
  <c r="P151" i="2"/>
  <c r="P150" i="2"/>
  <c r="P149" i="2"/>
  <c r="P147" i="2"/>
  <c r="P145" i="2"/>
  <c r="P143" i="2"/>
  <c r="P139" i="2"/>
  <c r="P138" i="2"/>
  <c r="P137" i="2"/>
  <c r="P136" i="2"/>
  <c r="P134" i="2"/>
  <c r="P132" i="2"/>
  <c r="L151" i="2"/>
  <c r="L150" i="2"/>
  <c r="L149" i="2"/>
  <c r="L147" i="2"/>
  <c r="L145" i="2"/>
  <c r="L143" i="2"/>
  <c r="L139" i="2"/>
  <c r="L138" i="2"/>
  <c r="L137" i="2"/>
  <c r="L136" i="2"/>
  <c r="L134" i="2"/>
  <c r="L132" i="2"/>
  <c r="L129" i="2"/>
  <c r="L128" i="2"/>
  <c r="L126" i="2"/>
  <c r="L125" i="2"/>
  <c r="L122" i="2"/>
  <c r="L121" i="2"/>
  <c r="L119" i="2"/>
  <c r="L118" i="2"/>
  <c r="L117" i="2"/>
  <c r="L116" i="2"/>
  <c r="L115" i="2"/>
  <c r="L114" i="2"/>
  <c r="L112" i="2"/>
  <c r="P106" i="2" l="1"/>
  <c r="P72" i="2"/>
  <c r="P56" i="2"/>
  <c r="L106" i="2"/>
  <c r="L56" i="2"/>
  <c r="N58" i="2" l="1"/>
  <c r="M58" i="2"/>
  <c r="F58" i="2"/>
  <c r="P172" i="2"/>
  <c r="P170" i="2"/>
  <c r="P167" i="2"/>
  <c r="P165" i="2"/>
  <c r="P163" i="2"/>
  <c r="P161" i="2"/>
  <c r="P159" i="2"/>
  <c r="P157" i="2"/>
  <c r="P153" i="2"/>
  <c r="P152" i="2"/>
  <c r="P148" i="2"/>
  <c r="P146" i="2"/>
  <c r="P144" i="2"/>
  <c r="P142" i="2"/>
  <c r="P141" i="2"/>
  <c r="P140" i="2"/>
  <c r="P135" i="2"/>
  <c r="P133" i="2"/>
  <c r="P131" i="2"/>
  <c r="P130" i="2"/>
  <c r="P127" i="2"/>
  <c r="P124" i="2"/>
  <c r="P123" i="2"/>
  <c r="P120" i="2"/>
  <c r="P113" i="2"/>
  <c r="P111" i="2"/>
  <c r="P110" i="2"/>
  <c r="P109" i="2"/>
  <c r="P108" i="2"/>
  <c r="P107" i="2"/>
  <c r="P101" i="2"/>
  <c r="P99" i="2"/>
  <c r="P98" i="2"/>
  <c r="P93" i="2"/>
  <c r="P91" i="2"/>
  <c r="P90" i="2"/>
  <c r="P83" i="2"/>
  <c r="P80" i="2"/>
  <c r="P74" i="2"/>
  <c r="P73" i="2"/>
  <c r="P69" i="2"/>
  <c r="P66" i="2"/>
  <c r="P63" i="2"/>
  <c r="P58" i="2"/>
  <c r="Q58" i="2" s="1"/>
  <c r="P48" i="2"/>
  <c r="P46" i="2"/>
  <c r="P32" i="2"/>
  <c r="P26" i="2"/>
  <c r="P20" i="2"/>
  <c r="P15" i="2"/>
  <c r="P10" i="2"/>
  <c r="P6" i="2"/>
  <c r="L172" i="2"/>
  <c r="L170" i="2"/>
  <c r="L167" i="2"/>
  <c r="L165" i="2"/>
  <c r="L163" i="2"/>
  <c r="L161" i="2"/>
  <c r="L159" i="2"/>
  <c r="L157" i="2"/>
  <c r="L153" i="2"/>
  <c r="L152" i="2"/>
  <c r="L148" i="2"/>
  <c r="L146" i="2"/>
  <c r="L144" i="2"/>
  <c r="L142" i="2"/>
  <c r="L141" i="2"/>
  <c r="L140" i="2"/>
  <c r="L135" i="2"/>
  <c r="L133" i="2"/>
  <c r="L131" i="2"/>
  <c r="L130" i="2"/>
  <c r="L127" i="2"/>
  <c r="L124" i="2"/>
  <c r="L123" i="2"/>
  <c r="L120" i="2"/>
  <c r="L113" i="2"/>
  <c r="L111" i="2"/>
  <c r="L110" i="2"/>
  <c r="L109" i="2"/>
  <c r="L108" i="2"/>
  <c r="L107" i="2"/>
  <c r="L101" i="2"/>
  <c r="L99" i="2"/>
  <c r="L98" i="2"/>
  <c r="L93" i="2"/>
  <c r="L91" i="2"/>
  <c r="L90" i="2"/>
  <c r="L83" i="2"/>
  <c r="L80" i="2"/>
  <c r="L74" i="2"/>
  <c r="L73" i="2"/>
  <c r="L69" i="2"/>
  <c r="L66" i="2"/>
  <c r="L63" i="2"/>
  <c r="L58" i="2"/>
  <c r="L48" i="2"/>
  <c r="L46" i="2"/>
  <c r="L32" i="2"/>
  <c r="L26" i="2"/>
  <c r="L20" i="2"/>
  <c r="L15" i="2"/>
  <c r="L10" i="2"/>
  <c r="L6" i="2"/>
  <c r="G58" i="2"/>
  <c r="A154" i="2" l="1"/>
  <c r="H210" i="2" l="1"/>
  <c r="D210" i="2"/>
  <c r="C210" i="2"/>
  <c r="I151" i="2"/>
  <c r="I150" i="2"/>
  <c r="I149" i="2"/>
  <c r="I147" i="2"/>
  <c r="I145" i="2"/>
  <c r="I143" i="2"/>
  <c r="I139" i="2"/>
  <c r="I138" i="2"/>
  <c r="I137" i="2"/>
  <c r="I136" i="2"/>
  <c r="I134" i="2"/>
  <c r="I132" i="2"/>
  <c r="I129" i="2"/>
  <c r="I128" i="2"/>
  <c r="I126" i="2"/>
  <c r="I125" i="2"/>
  <c r="I122" i="2"/>
  <c r="I121" i="2"/>
  <c r="I119" i="2"/>
  <c r="I118" i="2"/>
  <c r="I117" i="2"/>
  <c r="I116" i="2"/>
  <c r="I115" i="2"/>
  <c r="I114" i="2"/>
  <c r="I112" i="2"/>
  <c r="E151" i="2"/>
  <c r="E150" i="2"/>
  <c r="E149" i="2"/>
  <c r="E147" i="2"/>
  <c r="E145" i="2"/>
  <c r="E143" i="2"/>
  <c r="E139" i="2"/>
  <c r="E138" i="2"/>
  <c r="E137" i="2"/>
  <c r="E136" i="2"/>
  <c r="E134" i="2"/>
  <c r="E132" i="2"/>
  <c r="E129" i="2"/>
  <c r="E128" i="2"/>
  <c r="E126" i="2"/>
  <c r="E125" i="2"/>
  <c r="E121" i="2"/>
  <c r="E119" i="2"/>
  <c r="E118" i="2"/>
  <c r="E117" i="2"/>
  <c r="E116" i="2"/>
  <c r="E115" i="2"/>
  <c r="E114" i="2"/>
  <c r="E112" i="2"/>
  <c r="E210" i="2" l="1"/>
  <c r="H5" i="12" s="1"/>
  <c r="X5" i="12" s="1"/>
  <c r="I210" i="2"/>
  <c r="I7" i="2"/>
  <c r="Y51" i="5" l="1"/>
  <c r="W51" i="5"/>
  <c r="Y50" i="5"/>
  <c r="W50" i="5"/>
  <c r="Y48" i="5"/>
  <c r="W48" i="5"/>
  <c r="Y47" i="5"/>
  <c r="W47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5" i="5"/>
  <c r="W35" i="5"/>
  <c r="Y34" i="5"/>
  <c r="W34" i="5"/>
  <c r="Y32" i="5"/>
  <c r="W32" i="5"/>
  <c r="Y31" i="5"/>
  <c r="W31" i="5"/>
  <c r="Y29" i="5"/>
  <c r="W29" i="5"/>
  <c r="Y28" i="5"/>
  <c r="W28" i="5"/>
  <c r="Y26" i="5"/>
  <c r="W26" i="5"/>
  <c r="Y25" i="5"/>
  <c r="W25" i="5"/>
  <c r="Y24" i="5"/>
  <c r="W24" i="5"/>
  <c r="Y23" i="5"/>
  <c r="W23" i="5"/>
  <c r="Y22" i="5"/>
  <c r="W22" i="5"/>
  <c r="W21" i="5"/>
  <c r="Y19" i="5"/>
  <c r="W19" i="5"/>
  <c r="Y18" i="5"/>
  <c r="W18" i="5"/>
  <c r="Y16" i="5"/>
  <c r="W16" i="5"/>
  <c r="Y15" i="5"/>
  <c r="W15" i="5"/>
  <c r="Y13" i="5"/>
  <c r="W13" i="5"/>
  <c r="Y12" i="5"/>
  <c r="W12" i="5"/>
  <c r="Y10" i="5"/>
  <c r="W10" i="5"/>
  <c r="Y9" i="5"/>
  <c r="W9" i="5"/>
  <c r="Y8" i="5"/>
  <c r="W8" i="5"/>
  <c r="AB7" i="5"/>
  <c r="AA7" i="5"/>
  <c r="Z7" i="5"/>
  <c r="Y7" i="5"/>
  <c r="X7" i="5"/>
  <c r="V7" i="5"/>
  <c r="U7" i="5"/>
  <c r="T7" i="5"/>
  <c r="S7" i="5"/>
  <c r="S51" i="5" l="1"/>
  <c r="S50" i="5"/>
  <c r="S48" i="5"/>
  <c r="S47" i="5"/>
  <c r="S45" i="5"/>
  <c r="S44" i="5"/>
  <c r="S43" i="5"/>
  <c r="S42" i="5"/>
  <c r="S41" i="5"/>
  <c r="S40" i="5"/>
  <c r="S39" i="5"/>
  <c r="S38" i="5"/>
  <c r="S37" i="5"/>
  <c r="S35" i="5"/>
  <c r="S34" i="5"/>
  <c r="S32" i="5"/>
  <c r="S31" i="5"/>
  <c r="S29" i="5"/>
  <c r="S28" i="5"/>
  <c r="S26" i="5"/>
  <c r="S25" i="5"/>
  <c r="S24" i="5"/>
  <c r="S23" i="5"/>
  <c r="S22" i="5"/>
  <c r="S21" i="5"/>
  <c r="S19" i="5"/>
  <c r="S18" i="5"/>
  <c r="S16" i="5"/>
  <c r="S15" i="5"/>
  <c r="S13" i="5"/>
  <c r="S12" i="5"/>
  <c r="S10" i="5"/>
  <c r="S9" i="5"/>
  <c r="S8" i="5"/>
  <c r="I205" i="2"/>
  <c r="I171" i="2"/>
  <c r="I169" i="2"/>
  <c r="I168" i="2"/>
  <c r="I166" i="2"/>
  <c r="I164" i="2"/>
  <c r="I162" i="2"/>
  <c r="I160" i="2"/>
  <c r="I158" i="2"/>
  <c r="I173" i="2" l="1"/>
  <c r="P171" i="2"/>
  <c r="P169" i="2"/>
  <c r="P168" i="2"/>
  <c r="P166" i="2"/>
  <c r="P164" i="2"/>
  <c r="P162" i="2"/>
  <c r="P160" i="2"/>
  <c r="P158" i="2"/>
  <c r="L171" i="2"/>
  <c r="L169" i="2"/>
  <c r="L168" i="2"/>
  <c r="L166" i="2"/>
  <c r="L164" i="2"/>
  <c r="L162" i="2"/>
  <c r="L160" i="2"/>
  <c r="L158" i="2"/>
  <c r="E171" i="2"/>
  <c r="E169" i="2"/>
  <c r="E168" i="2"/>
  <c r="E166" i="2"/>
  <c r="E164" i="2"/>
  <c r="E162" i="2"/>
  <c r="E160" i="2"/>
  <c r="E158" i="2"/>
  <c r="V51" i="5"/>
  <c r="V50" i="5"/>
  <c r="V48" i="5"/>
  <c r="V47" i="5"/>
  <c r="V45" i="5"/>
  <c r="V44" i="5"/>
  <c r="V43" i="5"/>
  <c r="V42" i="5"/>
  <c r="V41" i="5"/>
  <c r="V40" i="5"/>
  <c r="V39" i="5"/>
  <c r="V38" i="5"/>
  <c r="V37" i="5"/>
  <c r="V35" i="5"/>
  <c r="V34" i="5"/>
  <c r="V32" i="5"/>
  <c r="V31" i="5"/>
  <c r="V29" i="5"/>
  <c r="V28" i="5"/>
  <c r="V26" i="5"/>
  <c r="V25" i="5"/>
  <c r="V24" i="5"/>
  <c r="V23" i="5"/>
  <c r="V22" i="5"/>
  <c r="V21" i="5"/>
  <c r="V19" i="5"/>
  <c r="V18" i="5"/>
  <c r="V16" i="5"/>
  <c r="V15" i="5"/>
  <c r="V13" i="5"/>
  <c r="V12" i="5"/>
  <c r="V10" i="5"/>
  <c r="V9" i="5"/>
  <c r="V8" i="5"/>
  <c r="I208" i="2"/>
  <c r="I106" i="2"/>
  <c r="I72" i="2"/>
  <c r="I56" i="2"/>
  <c r="P173" i="2" l="1"/>
  <c r="X51" i="5"/>
  <c r="X50" i="5"/>
  <c r="X48" i="5"/>
  <c r="X47" i="5"/>
  <c r="X45" i="5"/>
  <c r="X44" i="5"/>
  <c r="X43" i="5"/>
  <c r="X42" i="5"/>
  <c r="X41" i="5"/>
  <c r="X40" i="5"/>
  <c r="X39" i="5"/>
  <c r="X38" i="5"/>
  <c r="X37" i="5"/>
  <c r="X35" i="5"/>
  <c r="X34" i="5"/>
  <c r="X32" i="5"/>
  <c r="X31" i="5"/>
  <c r="X29" i="5"/>
  <c r="X28" i="5"/>
  <c r="X26" i="5"/>
  <c r="X25" i="5"/>
  <c r="X24" i="5"/>
  <c r="X23" i="5"/>
  <c r="X22" i="5"/>
  <c r="X21" i="5"/>
  <c r="X19" i="5"/>
  <c r="X18" i="5"/>
  <c r="X16" i="5"/>
  <c r="X15" i="5"/>
  <c r="X13" i="5"/>
  <c r="X12" i="5"/>
  <c r="X10" i="5"/>
  <c r="X9" i="5"/>
  <c r="X8" i="5"/>
  <c r="I154" i="2"/>
  <c r="Z51" i="5" l="1"/>
  <c r="Z50" i="5"/>
  <c r="Z48" i="5"/>
  <c r="Z47" i="5"/>
  <c r="Z45" i="5"/>
  <c r="Z44" i="5"/>
  <c r="Z43" i="5"/>
  <c r="Z42" i="5"/>
  <c r="Z41" i="5"/>
  <c r="Z40" i="5"/>
  <c r="Z39" i="5"/>
  <c r="Z38" i="5"/>
  <c r="Z37" i="5"/>
  <c r="Z35" i="5"/>
  <c r="Z34" i="5"/>
  <c r="Z32" i="5"/>
  <c r="Z31" i="5"/>
  <c r="Z29" i="5"/>
  <c r="Z28" i="5"/>
  <c r="Z26" i="5"/>
  <c r="Z25" i="5"/>
  <c r="Z24" i="5"/>
  <c r="Z23" i="5"/>
  <c r="Z22" i="5"/>
  <c r="Z21" i="5"/>
  <c r="Z19" i="5"/>
  <c r="Z18" i="5"/>
  <c r="Z16" i="5"/>
  <c r="Z15" i="5"/>
  <c r="Z13" i="5"/>
  <c r="Z12" i="5"/>
  <c r="Z10" i="5"/>
  <c r="Z9" i="5"/>
  <c r="Z8" i="5"/>
  <c r="I212" i="2"/>
  <c r="I97" i="2"/>
  <c r="I96" i="2"/>
  <c r="I94" i="2"/>
  <c r="I92" i="2"/>
  <c r="I89" i="2"/>
  <c r="I88" i="2"/>
  <c r="I87" i="2"/>
  <c r="I84" i="2"/>
  <c r="I82" i="2"/>
  <c r="E97" i="2"/>
  <c r="E96" i="2"/>
  <c r="E94" i="2"/>
  <c r="E92" i="2"/>
  <c r="E89" i="2"/>
  <c r="E88" i="2"/>
  <c r="E87" i="2"/>
  <c r="E84" i="2"/>
  <c r="E82" i="2"/>
  <c r="P95" i="2" l="1"/>
  <c r="L95" i="2"/>
  <c r="I211" i="2"/>
  <c r="I95" i="2"/>
  <c r="E95" i="2"/>
  <c r="I214" i="2"/>
  <c r="AB51" i="5"/>
  <c r="AB50" i="5"/>
  <c r="AB48" i="5"/>
  <c r="AB47" i="5"/>
  <c r="AB45" i="5"/>
  <c r="AB44" i="5"/>
  <c r="AB43" i="5"/>
  <c r="AB32" i="5"/>
  <c r="AB31" i="5"/>
  <c r="AB29" i="5"/>
  <c r="AB28" i="5"/>
  <c r="AB24" i="5"/>
  <c r="AB23" i="5"/>
  <c r="AB22" i="5"/>
  <c r="AB21" i="5"/>
  <c r="AB19" i="5"/>
  <c r="AB18" i="5"/>
  <c r="AB13" i="5"/>
  <c r="AB12" i="5"/>
  <c r="AB10" i="5"/>
  <c r="AB9" i="5"/>
  <c r="AB8" i="5"/>
  <c r="I102" i="2"/>
  <c r="I100" i="2"/>
  <c r="I85" i="2"/>
  <c r="I81" i="2"/>
  <c r="E102" i="2"/>
  <c r="E100" i="2"/>
  <c r="E85" i="2"/>
  <c r="E81" i="2"/>
  <c r="I103" i="2" l="1"/>
  <c r="D51" i="5"/>
  <c r="T51" i="5" s="1"/>
  <c r="D50" i="5"/>
  <c r="T50" i="5" s="1"/>
  <c r="D48" i="5"/>
  <c r="T48" i="5" s="1"/>
  <c r="D47" i="5"/>
  <c r="T47" i="5" s="1"/>
  <c r="D45" i="5"/>
  <c r="T45" i="5" s="1"/>
  <c r="D44" i="5"/>
  <c r="T44" i="5" s="1"/>
  <c r="D43" i="5"/>
  <c r="T43" i="5" s="1"/>
  <c r="D42" i="5"/>
  <c r="T42" i="5" s="1"/>
  <c r="D41" i="5"/>
  <c r="T41" i="5" s="1"/>
  <c r="D40" i="5"/>
  <c r="T40" i="5" s="1"/>
  <c r="D39" i="5"/>
  <c r="T39" i="5" s="1"/>
  <c r="D38" i="5"/>
  <c r="T38" i="5" s="1"/>
  <c r="D37" i="5"/>
  <c r="T37" i="5" s="1"/>
  <c r="D35" i="5"/>
  <c r="T35" i="5" s="1"/>
  <c r="D34" i="5"/>
  <c r="T34" i="5" s="1"/>
  <c r="D32" i="5"/>
  <c r="T32" i="5" s="1"/>
  <c r="D31" i="5"/>
  <c r="T31" i="5" s="1"/>
  <c r="D29" i="5"/>
  <c r="T29" i="5" s="1"/>
  <c r="D28" i="5"/>
  <c r="T28" i="5" s="1"/>
  <c r="D26" i="5"/>
  <c r="T26" i="5" s="1"/>
  <c r="D25" i="5"/>
  <c r="T25" i="5" s="1"/>
  <c r="D24" i="5"/>
  <c r="T24" i="5" s="1"/>
  <c r="D23" i="5"/>
  <c r="T23" i="5" s="1"/>
  <c r="D22" i="5"/>
  <c r="T22" i="5" s="1"/>
  <c r="D21" i="5"/>
  <c r="T21" i="5" s="1"/>
  <c r="D19" i="5"/>
  <c r="T19" i="5" s="1"/>
  <c r="D18" i="5"/>
  <c r="T18" i="5" s="1"/>
  <c r="D16" i="5"/>
  <c r="T16" i="5" s="1"/>
  <c r="D15" i="5"/>
  <c r="T15" i="5" s="1"/>
  <c r="D13" i="5"/>
  <c r="T13" i="5" s="1"/>
  <c r="D12" i="5"/>
  <c r="T12" i="5" s="1"/>
  <c r="D10" i="5"/>
  <c r="T10" i="5" s="1"/>
  <c r="D9" i="5"/>
  <c r="T9" i="5" s="1"/>
  <c r="D8" i="5"/>
  <c r="T8" i="5" s="1"/>
  <c r="P50" i="2"/>
  <c r="L50" i="2"/>
  <c r="P182" i="2"/>
  <c r="P181" i="2"/>
  <c r="P180" i="2"/>
  <c r="P179" i="2"/>
  <c r="P178" i="2"/>
  <c r="P176" i="2"/>
  <c r="L182" i="2"/>
  <c r="L181" i="2"/>
  <c r="L180" i="2"/>
  <c r="L179" i="2"/>
  <c r="L178" i="2"/>
  <c r="L176" i="2"/>
  <c r="I182" i="2"/>
  <c r="I181" i="2"/>
  <c r="I180" i="2"/>
  <c r="I179" i="2"/>
  <c r="I178" i="2"/>
  <c r="I176" i="2"/>
  <c r="I50" i="2"/>
  <c r="E182" i="2"/>
  <c r="E181" i="2"/>
  <c r="E180" i="2"/>
  <c r="E179" i="2"/>
  <c r="E178" i="2"/>
  <c r="E176" i="2"/>
  <c r="E50" i="2"/>
  <c r="I206" i="2" l="1"/>
  <c r="I183" i="2"/>
  <c r="AA51" i="5"/>
  <c r="AA50" i="5"/>
  <c r="AA48" i="5"/>
  <c r="AA47" i="5"/>
  <c r="AA45" i="5"/>
  <c r="AA44" i="5"/>
  <c r="AA43" i="5"/>
  <c r="AA42" i="5"/>
  <c r="AA41" i="5"/>
  <c r="AA40" i="5"/>
  <c r="AA39" i="5"/>
  <c r="AA38" i="5"/>
  <c r="AA37" i="5"/>
  <c r="AA35" i="5"/>
  <c r="AA34" i="5"/>
  <c r="AA32" i="5"/>
  <c r="AA31" i="5"/>
  <c r="AA29" i="5"/>
  <c r="AA28" i="5"/>
  <c r="AA26" i="5"/>
  <c r="AA25" i="5"/>
  <c r="AA24" i="5"/>
  <c r="AA23" i="5"/>
  <c r="AA22" i="5"/>
  <c r="AA21" i="5"/>
  <c r="AA19" i="5"/>
  <c r="AA18" i="5"/>
  <c r="AA16" i="5"/>
  <c r="AA15" i="5"/>
  <c r="AA13" i="5"/>
  <c r="AA12" i="5"/>
  <c r="AA10" i="5"/>
  <c r="I213" i="2"/>
  <c r="I77" i="2" l="1"/>
  <c r="U51" i="5"/>
  <c r="U50" i="5"/>
  <c r="U48" i="5"/>
  <c r="U47" i="5"/>
  <c r="U45" i="5"/>
  <c r="U44" i="5"/>
  <c r="U43" i="5"/>
  <c r="U42" i="5"/>
  <c r="U41" i="5"/>
  <c r="U40" i="5"/>
  <c r="U39" i="5"/>
  <c r="U38" i="5"/>
  <c r="U37" i="5"/>
  <c r="U35" i="5"/>
  <c r="U34" i="5"/>
  <c r="U32" i="5"/>
  <c r="U31" i="5"/>
  <c r="U29" i="5"/>
  <c r="U28" i="5"/>
  <c r="U26" i="5"/>
  <c r="U25" i="5"/>
  <c r="U24" i="5"/>
  <c r="U23" i="5"/>
  <c r="U22" i="5"/>
  <c r="U21" i="5"/>
  <c r="U19" i="5"/>
  <c r="U18" i="5"/>
  <c r="U16" i="5"/>
  <c r="U15" i="5"/>
  <c r="U13" i="5"/>
  <c r="U12" i="5"/>
  <c r="U10" i="5"/>
  <c r="U9" i="5"/>
  <c r="U8" i="5"/>
  <c r="I207" i="2"/>
  <c r="P38" i="2"/>
  <c r="P35" i="2"/>
  <c r="P34" i="2"/>
  <c r="P33" i="2"/>
  <c r="P31" i="2"/>
  <c r="P28" i="2"/>
  <c r="P27" i="2"/>
  <c r="P24" i="2"/>
  <c r="P22" i="2"/>
  <c r="P21" i="2"/>
  <c r="P19" i="2"/>
  <c r="P18" i="2"/>
  <c r="P17" i="2"/>
  <c r="P12" i="2"/>
  <c r="L38" i="2"/>
  <c r="L35" i="2"/>
  <c r="L34" i="2"/>
  <c r="L33" i="2"/>
  <c r="L31" i="2"/>
  <c r="L28" i="2"/>
  <c r="L27" i="2"/>
  <c r="L24" i="2"/>
  <c r="L22" i="2"/>
  <c r="L21" i="2"/>
  <c r="L19" i="2"/>
  <c r="L18" i="2"/>
  <c r="L17" i="2"/>
  <c r="L12" i="2"/>
  <c r="I38" i="2"/>
  <c r="I35" i="2"/>
  <c r="I34" i="2"/>
  <c r="I33" i="2"/>
  <c r="I31" i="2"/>
  <c r="I28" i="2"/>
  <c r="I27" i="2"/>
  <c r="I24" i="2"/>
  <c r="I22" i="2"/>
  <c r="I21" i="2"/>
  <c r="I19" i="2"/>
  <c r="I18" i="2"/>
  <c r="I17" i="2"/>
  <c r="I12" i="2"/>
  <c r="E38" i="2"/>
  <c r="E35" i="2"/>
  <c r="E34" i="2"/>
  <c r="E33" i="2"/>
  <c r="E31" i="2"/>
  <c r="E28" i="2"/>
  <c r="E27" i="2"/>
  <c r="E24" i="2"/>
  <c r="E22" i="2"/>
  <c r="E21" i="2"/>
  <c r="E19" i="2"/>
  <c r="E18" i="2"/>
  <c r="E17" i="2"/>
  <c r="E12" i="2"/>
  <c r="I40" i="2" l="1"/>
  <c r="I201" i="2" s="1"/>
  <c r="I209" i="2"/>
  <c r="I215" i="2" s="1"/>
  <c r="Q130" i="2" l="1"/>
  <c r="N130" i="2"/>
  <c r="M130" i="2"/>
  <c r="G130" i="2"/>
  <c r="F130" i="2"/>
  <c r="M7" i="5" l="1"/>
  <c r="M8" i="5"/>
  <c r="M9" i="5"/>
  <c r="M10" i="5"/>
  <c r="AB39" i="5"/>
  <c r="AB34" i="5"/>
  <c r="AB16" i="5"/>
  <c r="AA8" i="5"/>
  <c r="L205" i="2"/>
  <c r="C6" i="12" s="1"/>
  <c r="S6" i="12" s="1"/>
  <c r="AA9" i="5" l="1"/>
  <c r="AB26" i="5"/>
  <c r="AB42" i="5"/>
  <c r="AB25" i="5"/>
  <c r="AB35" i="5"/>
  <c r="AB41" i="5"/>
  <c r="AC10" i="5"/>
  <c r="AC7" i="5"/>
  <c r="W7" i="5"/>
  <c r="AB38" i="5"/>
  <c r="AC9" i="5"/>
  <c r="AC8" i="5"/>
  <c r="AB15" i="5"/>
  <c r="AB37" i="5"/>
  <c r="AB40" i="5"/>
  <c r="O39" i="5" l="1"/>
  <c r="P16" i="5" l="1"/>
  <c r="Q9" i="5"/>
  <c r="Q12" i="5" s="1"/>
  <c r="P7" i="5"/>
  <c r="P6" i="5"/>
  <c r="T100" i="2"/>
  <c r="H214" i="2" l="1"/>
  <c r="H213" i="2"/>
  <c r="H212" i="2"/>
  <c r="H211" i="2"/>
  <c r="H209" i="2"/>
  <c r="H208" i="2"/>
  <c r="H207" i="2"/>
  <c r="H206" i="2"/>
  <c r="H7" i="2"/>
  <c r="H219" i="2" s="1"/>
  <c r="H40" i="2"/>
  <c r="H220" i="2" s="1"/>
  <c r="H77" i="2"/>
  <c r="H183" i="2"/>
  <c r="H225" i="2" s="1"/>
  <c r="H199" i="2"/>
  <c r="H226" i="2" s="1"/>
  <c r="H154" i="2"/>
  <c r="H223" i="2" s="1"/>
  <c r="H221" i="2" l="1"/>
  <c r="F14" i="5"/>
  <c r="V14" i="5" s="1"/>
  <c r="I33" i="5"/>
  <c r="Y33" i="5" s="1"/>
  <c r="I30" i="5"/>
  <c r="Y30" i="5" s="1"/>
  <c r="I27" i="5"/>
  <c r="Y27" i="5" s="1"/>
  <c r="L52" i="5"/>
  <c r="AB52" i="5" s="1"/>
  <c r="K52" i="5"/>
  <c r="AA52" i="5" s="1"/>
  <c r="J52" i="5"/>
  <c r="Z52" i="5" s="1"/>
  <c r="I52" i="5"/>
  <c r="Y52" i="5" s="1"/>
  <c r="H52" i="5"/>
  <c r="X52" i="5" s="1"/>
  <c r="G52" i="5"/>
  <c r="W52" i="5" s="1"/>
  <c r="F52" i="5"/>
  <c r="V52" i="5" s="1"/>
  <c r="E52" i="5"/>
  <c r="U52" i="5" s="1"/>
  <c r="D52" i="5"/>
  <c r="T52" i="5" s="1"/>
  <c r="C52" i="5"/>
  <c r="S52" i="5" s="1"/>
  <c r="L49" i="5"/>
  <c r="AB49" i="5" s="1"/>
  <c r="K49" i="5"/>
  <c r="AA49" i="5" s="1"/>
  <c r="J49" i="5"/>
  <c r="Z49" i="5" s="1"/>
  <c r="I49" i="5"/>
  <c r="Y49" i="5" s="1"/>
  <c r="H49" i="5"/>
  <c r="X49" i="5" s="1"/>
  <c r="G49" i="5"/>
  <c r="W49" i="5" s="1"/>
  <c r="F49" i="5"/>
  <c r="V49" i="5" s="1"/>
  <c r="E49" i="5"/>
  <c r="U49" i="5" s="1"/>
  <c r="D49" i="5"/>
  <c r="T49" i="5" s="1"/>
  <c r="L46" i="5"/>
  <c r="AB46" i="5" s="1"/>
  <c r="K46" i="5"/>
  <c r="AA46" i="5" s="1"/>
  <c r="J46" i="5"/>
  <c r="Z46" i="5" s="1"/>
  <c r="I46" i="5"/>
  <c r="Y46" i="5" s="1"/>
  <c r="H46" i="5"/>
  <c r="X46" i="5" s="1"/>
  <c r="G46" i="5"/>
  <c r="W46" i="5" s="1"/>
  <c r="F46" i="5"/>
  <c r="V46" i="5" s="1"/>
  <c r="E46" i="5"/>
  <c r="U46" i="5" s="1"/>
  <c r="D46" i="5"/>
  <c r="T46" i="5" s="1"/>
  <c r="C46" i="5"/>
  <c r="S46" i="5" s="1"/>
  <c r="L36" i="5"/>
  <c r="AB36" i="5" s="1"/>
  <c r="K36" i="5"/>
  <c r="AA36" i="5" s="1"/>
  <c r="J36" i="5"/>
  <c r="Z36" i="5" s="1"/>
  <c r="I36" i="5"/>
  <c r="Y36" i="5" s="1"/>
  <c r="H36" i="5"/>
  <c r="X36" i="5" s="1"/>
  <c r="G36" i="5"/>
  <c r="W36" i="5" s="1"/>
  <c r="F36" i="5"/>
  <c r="V36" i="5" s="1"/>
  <c r="E36" i="5"/>
  <c r="U36" i="5" s="1"/>
  <c r="D36" i="5"/>
  <c r="T36" i="5" s="1"/>
  <c r="L33" i="5"/>
  <c r="AB33" i="5" s="1"/>
  <c r="K33" i="5"/>
  <c r="AA33" i="5" s="1"/>
  <c r="J33" i="5"/>
  <c r="Z33" i="5" s="1"/>
  <c r="H33" i="5"/>
  <c r="X33" i="5" s="1"/>
  <c r="G33" i="5"/>
  <c r="W33" i="5" s="1"/>
  <c r="F33" i="5"/>
  <c r="V33" i="5" s="1"/>
  <c r="E33" i="5"/>
  <c r="U33" i="5" s="1"/>
  <c r="D33" i="5"/>
  <c r="T33" i="5" s="1"/>
  <c r="L30" i="5"/>
  <c r="AB30" i="5" s="1"/>
  <c r="K30" i="5"/>
  <c r="AA30" i="5" s="1"/>
  <c r="J30" i="5"/>
  <c r="Z30" i="5" s="1"/>
  <c r="H30" i="5"/>
  <c r="X30" i="5" s="1"/>
  <c r="G30" i="5"/>
  <c r="W30" i="5" s="1"/>
  <c r="F30" i="5"/>
  <c r="V30" i="5" s="1"/>
  <c r="E30" i="5"/>
  <c r="U30" i="5" s="1"/>
  <c r="D30" i="5"/>
  <c r="T30" i="5" s="1"/>
  <c r="L27" i="5"/>
  <c r="AB27" i="5" s="1"/>
  <c r="K27" i="5"/>
  <c r="AA27" i="5" s="1"/>
  <c r="J27" i="5"/>
  <c r="Z27" i="5" s="1"/>
  <c r="H27" i="5"/>
  <c r="X27" i="5" s="1"/>
  <c r="G27" i="5"/>
  <c r="W27" i="5" s="1"/>
  <c r="F27" i="5"/>
  <c r="V27" i="5" s="1"/>
  <c r="E27" i="5"/>
  <c r="U27" i="5" s="1"/>
  <c r="D27" i="5"/>
  <c r="T27" i="5" s="1"/>
  <c r="L20" i="5"/>
  <c r="AB20" i="5" s="1"/>
  <c r="K20" i="5"/>
  <c r="AA20" i="5" s="1"/>
  <c r="J20" i="5"/>
  <c r="Z20" i="5" s="1"/>
  <c r="H20" i="5"/>
  <c r="X20" i="5" s="1"/>
  <c r="G20" i="5"/>
  <c r="W20" i="5" s="1"/>
  <c r="F20" i="5"/>
  <c r="V20" i="5" s="1"/>
  <c r="E20" i="5"/>
  <c r="U20" i="5" s="1"/>
  <c r="D20" i="5"/>
  <c r="T20" i="5" s="1"/>
  <c r="C17" i="5"/>
  <c r="S17" i="5" s="1"/>
  <c r="L17" i="5"/>
  <c r="AB17" i="5" s="1"/>
  <c r="K17" i="5"/>
  <c r="AA17" i="5" s="1"/>
  <c r="J17" i="5"/>
  <c r="Z17" i="5" s="1"/>
  <c r="I17" i="5"/>
  <c r="Y17" i="5" s="1"/>
  <c r="H17" i="5"/>
  <c r="X17" i="5" s="1"/>
  <c r="G17" i="5"/>
  <c r="W17" i="5" s="1"/>
  <c r="F17" i="5"/>
  <c r="V17" i="5" s="1"/>
  <c r="E17" i="5"/>
  <c r="U17" i="5" s="1"/>
  <c r="D17" i="5"/>
  <c r="T17" i="5" s="1"/>
  <c r="L14" i="5"/>
  <c r="K14" i="5"/>
  <c r="AA14" i="5" s="1"/>
  <c r="J14" i="5"/>
  <c r="Z14" i="5" s="1"/>
  <c r="I14" i="5"/>
  <c r="Y14" i="5" s="1"/>
  <c r="H14" i="5"/>
  <c r="X14" i="5" s="1"/>
  <c r="G14" i="5"/>
  <c r="W14" i="5" s="1"/>
  <c r="E14" i="5"/>
  <c r="U14" i="5" s="1"/>
  <c r="D14" i="5"/>
  <c r="T14" i="5" s="1"/>
  <c r="L11" i="5"/>
  <c r="K11" i="5"/>
  <c r="AA11" i="5" s="1"/>
  <c r="J11" i="5"/>
  <c r="Z11" i="5" s="1"/>
  <c r="I11" i="5"/>
  <c r="Y11" i="5" s="1"/>
  <c r="H11" i="5"/>
  <c r="X11" i="5" s="1"/>
  <c r="G11" i="5"/>
  <c r="W11" i="5" s="1"/>
  <c r="F11" i="5"/>
  <c r="V11" i="5" s="1"/>
  <c r="E11" i="5"/>
  <c r="U11" i="5" s="1"/>
  <c r="D11" i="5"/>
  <c r="T11" i="5" s="1"/>
  <c r="C11" i="5"/>
  <c r="S11" i="5" s="1"/>
  <c r="O11" i="5" l="1"/>
  <c r="AB11" i="5"/>
  <c r="O14" i="5"/>
  <c r="AB14" i="5"/>
  <c r="F31" i="2"/>
  <c r="H103" i="2" l="1"/>
  <c r="H222" i="2" l="1"/>
  <c r="Q170" i="2"/>
  <c r="Q169" i="2"/>
  <c r="Q165" i="2"/>
  <c r="Q162" i="2"/>
  <c r="Q161" i="2"/>
  <c r="Q158" i="2"/>
  <c r="Q132" i="2"/>
  <c r="Q131" i="2"/>
  <c r="Q127" i="2"/>
  <c r="Q126" i="2"/>
  <c r="Q123" i="2"/>
  <c r="Q122" i="2"/>
  <c r="Q119" i="2"/>
  <c r="Q118" i="2"/>
  <c r="Q115" i="2"/>
  <c r="O210" i="2"/>
  <c r="Q111" i="2"/>
  <c r="O154" i="2"/>
  <c r="O223" i="2" s="1"/>
  <c r="Q107" i="2"/>
  <c r="Q99" i="2"/>
  <c r="Q96" i="2"/>
  <c r="O211" i="2"/>
  <c r="Q91" i="2"/>
  <c r="Q88" i="2"/>
  <c r="Q87" i="2"/>
  <c r="O212" i="2"/>
  <c r="O103" i="2"/>
  <c r="O222" i="2" s="1"/>
  <c r="Q73" i="2"/>
  <c r="Q69" i="2"/>
  <c r="Q65" i="2"/>
  <c r="Q61" i="2"/>
  <c r="Q57" i="2"/>
  <c r="Q56" i="2"/>
  <c r="Q52" i="2"/>
  <c r="Q48" i="2"/>
  <c r="O207" i="2"/>
  <c r="Q19" i="2"/>
  <c r="Q20" i="2"/>
  <c r="Q27" i="2"/>
  <c r="Q32" i="2"/>
  <c r="Q35" i="2"/>
  <c r="Q24" i="2"/>
  <c r="M170" i="2"/>
  <c r="M163" i="2"/>
  <c r="M162" i="2"/>
  <c r="K173" i="2"/>
  <c r="K224" i="2" s="1"/>
  <c r="M151" i="2"/>
  <c r="M146" i="2"/>
  <c r="M142" i="2"/>
  <c r="M139" i="2"/>
  <c r="M138" i="2"/>
  <c r="M131" i="2"/>
  <c r="M129" i="2"/>
  <c r="M125" i="2"/>
  <c r="M122" i="2"/>
  <c r="M121" i="2"/>
  <c r="M118" i="2"/>
  <c r="K210" i="2"/>
  <c r="M113" i="2"/>
  <c r="M110" i="2"/>
  <c r="K154" i="2"/>
  <c r="K223" i="2" s="1"/>
  <c r="M99" i="2"/>
  <c r="M95" i="2"/>
  <c r="M91" i="2"/>
  <c r="M88" i="2"/>
  <c r="M87" i="2"/>
  <c r="K212" i="2"/>
  <c r="M74" i="2"/>
  <c r="M70" i="2"/>
  <c r="M59" i="2"/>
  <c r="M49" i="2"/>
  <c r="M46" i="2"/>
  <c r="K213" i="2"/>
  <c r="M69" i="2"/>
  <c r="M65" i="2"/>
  <c r="K208" i="2"/>
  <c r="M48" i="2"/>
  <c r="M32" i="2"/>
  <c r="M20" i="2"/>
  <c r="F165" i="2"/>
  <c r="D209" i="2"/>
  <c r="F151" i="2"/>
  <c r="F150" i="2"/>
  <c r="F146" i="2"/>
  <c r="F135" i="2"/>
  <c r="F134" i="2"/>
  <c r="F131" i="2"/>
  <c r="F129" i="2"/>
  <c r="F126" i="2"/>
  <c r="F125" i="2"/>
  <c r="F122" i="2"/>
  <c r="F121" i="2"/>
  <c r="F117" i="2"/>
  <c r="F113" i="2"/>
  <c r="F102" i="2"/>
  <c r="F97" i="2"/>
  <c r="F94" i="2"/>
  <c r="F92" i="2"/>
  <c r="F89" i="2"/>
  <c r="F88" i="2"/>
  <c r="F84" i="2"/>
  <c r="F81" i="2"/>
  <c r="F82" i="2"/>
  <c r="F93" i="2"/>
  <c r="F98" i="2"/>
  <c r="F100" i="2"/>
  <c r="D211" i="2"/>
  <c r="F87" i="2"/>
  <c r="F51" i="2"/>
  <c r="F60" i="2"/>
  <c r="F63" i="2"/>
  <c r="F68" i="2"/>
  <c r="D208" i="2"/>
  <c r="F75" i="2"/>
  <c r="G45" i="2"/>
  <c r="G51" i="2"/>
  <c r="F52" i="2"/>
  <c r="G59" i="2"/>
  <c r="G64" i="2"/>
  <c r="G71" i="2"/>
  <c r="F91" i="2"/>
  <c r="F99" i="2"/>
  <c r="F96" i="2"/>
  <c r="F70" i="2"/>
  <c r="F66" i="2"/>
  <c r="F57" i="2"/>
  <c r="F49" i="2"/>
  <c r="F46" i="2"/>
  <c r="F43" i="2"/>
  <c r="F74" i="2"/>
  <c r="E7" i="2"/>
  <c r="E219" i="2" s="1"/>
  <c r="D7" i="2"/>
  <c r="D219" i="2" s="1"/>
  <c r="F32" i="2"/>
  <c r="F28" i="2"/>
  <c r="F24" i="2"/>
  <c r="F20" i="2"/>
  <c r="F12" i="2"/>
  <c r="C223" i="2"/>
  <c r="J223" i="2"/>
  <c r="M43" i="5"/>
  <c r="AC43" i="5" s="1"/>
  <c r="M39" i="5"/>
  <c r="M38" i="5"/>
  <c r="AC38" i="5" s="1"/>
  <c r="C36" i="5"/>
  <c r="S36" i="5" s="1"/>
  <c r="M23" i="5"/>
  <c r="AC23" i="5" s="1"/>
  <c r="Q166" i="2"/>
  <c r="N168" i="2"/>
  <c r="N166" i="2"/>
  <c r="N160" i="2"/>
  <c r="N158" i="2"/>
  <c r="Q188" i="2"/>
  <c r="Q60" i="2"/>
  <c r="Q55" i="2"/>
  <c r="L199" i="2"/>
  <c r="L226" i="2" s="1"/>
  <c r="M68" i="2"/>
  <c r="N61" i="2"/>
  <c r="N55" i="2"/>
  <c r="M47" i="2"/>
  <c r="P77" i="2"/>
  <c r="Q102" i="2"/>
  <c r="N102" i="2"/>
  <c r="M102" i="2"/>
  <c r="G100" i="2"/>
  <c r="Q106" i="2"/>
  <c r="P208" i="2"/>
  <c r="G106" i="2"/>
  <c r="Q34" i="2"/>
  <c r="Q28" i="2"/>
  <c r="Q21" i="2"/>
  <c r="M38" i="2"/>
  <c r="M35" i="2"/>
  <c r="N35" i="2"/>
  <c r="N34" i="2"/>
  <c r="M33" i="2"/>
  <c r="N27" i="2"/>
  <c r="M24" i="2"/>
  <c r="M21" i="2"/>
  <c r="N19" i="2"/>
  <c r="M17" i="2"/>
  <c r="G35" i="2"/>
  <c r="F34" i="2"/>
  <c r="F19" i="2"/>
  <c r="E40" i="2"/>
  <c r="E220" i="2" s="1"/>
  <c r="Q97" i="2"/>
  <c r="Q92" i="2"/>
  <c r="Q89" i="2"/>
  <c r="M97" i="2"/>
  <c r="N96" i="2"/>
  <c r="N92" i="2"/>
  <c r="M89" i="2"/>
  <c r="N87" i="2"/>
  <c r="G96" i="2"/>
  <c r="G88" i="2"/>
  <c r="G10" i="2"/>
  <c r="G6" i="2"/>
  <c r="F6" i="2"/>
  <c r="F10" i="2"/>
  <c r="M6" i="2"/>
  <c r="M10" i="2"/>
  <c r="M15" i="2"/>
  <c r="M63" i="2"/>
  <c r="M66" i="2"/>
  <c r="D199" i="2"/>
  <c r="D226" i="2" s="1"/>
  <c r="G182" i="2"/>
  <c r="F181" i="2"/>
  <c r="G180" i="2"/>
  <c r="E183" i="2"/>
  <c r="G179" i="2"/>
  <c r="G178" i="2"/>
  <c r="D40" i="2"/>
  <c r="D220" i="2" s="1"/>
  <c r="Q182" i="2"/>
  <c r="Q181" i="2"/>
  <c r="Q180" i="2"/>
  <c r="Q179" i="2"/>
  <c r="Q178" i="2"/>
  <c r="P183" i="2"/>
  <c r="P225" i="2" s="1"/>
  <c r="Q176" i="2"/>
  <c r="N180" i="2"/>
  <c r="N179" i="2"/>
  <c r="M178" i="2"/>
  <c r="M176" i="2"/>
  <c r="R52" i="5"/>
  <c r="R46" i="5"/>
  <c r="P210" i="2"/>
  <c r="P205" i="2"/>
  <c r="L211" i="2"/>
  <c r="I6" i="12" s="1"/>
  <c r="Y6" i="12" s="1"/>
  <c r="C6" i="5"/>
  <c r="S6" i="5" s="1"/>
  <c r="L209" i="2"/>
  <c r="G6" i="12" s="1"/>
  <c r="E213" i="2"/>
  <c r="K5" i="12" s="1"/>
  <c r="AA5" i="12" s="1"/>
  <c r="E211" i="2"/>
  <c r="I5" i="12" s="1"/>
  <c r="Y5" i="12" s="1"/>
  <c r="E209" i="2"/>
  <c r="G5" i="12" s="1"/>
  <c r="E207" i="2"/>
  <c r="E5" i="12" s="1"/>
  <c r="U5" i="12" s="1"/>
  <c r="G13" i="2"/>
  <c r="G14" i="2"/>
  <c r="G23" i="2"/>
  <c r="G25" i="2"/>
  <c r="G26" i="2"/>
  <c r="N26" i="2"/>
  <c r="L210" i="2"/>
  <c r="H6" i="12" s="1"/>
  <c r="X6" i="12" s="1"/>
  <c r="P209" i="2"/>
  <c r="P7" i="2"/>
  <c r="P219" i="2" s="1"/>
  <c r="L7" i="2"/>
  <c r="L219" i="2" s="1"/>
  <c r="E199" i="2"/>
  <c r="E226" i="2" s="1"/>
  <c r="C22" i="10" s="1"/>
  <c r="Q197" i="2"/>
  <c r="Q172" i="2"/>
  <c r="Q171" i="2"/>
  <c r="Q168" i="2"/>
  <c r="Q167" i="2"/>
  <c r="Q164" i="2"/>
  <c r="Q163" i="2"/>
  <c r="Q160" i="2"/>
  <c r="Q159" i="2"/>
  <c r="Q157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4" i="2"/>
  <c r="Q133" i="2"/>
  <c r="Q129" i="2"/>
  <c r="Q128" i="2"/>
  <c r="Q125" i="2"/>
  <c r="Q124" i="2"/>
  <c r="Q121" i="2"/>
  <c r="Q120" i="2"/>
  <c r="Q117" i="2"/>
  <c r="Q116" i="2"/>
  <c r="Q113" i="2"/>
  <c r="Q112" i="2"/>
  <c r="Q109" i="2"/>
  <c r="Q108" i="2"/>
  <c r="Q101" i="2"/>
  <c r="Q98" i="2"/>
  <c r="Q94" i="2"/>
  <c r="Q93" i="2"/>
  <c r="Q90" i="2"/>
  <c r="Q85" i="2"/>
  <c r="Q81" i="2"/>
  <c r="Q80" i="2"/>
  <c r="Q75" i="2"/>
  <c r="Q74" i="2"/>
  <c r="Q72" i="2"/>
  <c r="Q71" i="2"/>
  <c r="Q70" i="2"/>
  <c r="Q68" i="2"/>
  <c r="Q67" i="2"/>
  <c r="Q66" i="2"/>
  <c r="Q64" i="2"/>
  <c r="Q63" i="2"/>
  <c r="Q59" i="2"/>
  <c r="Q51" i="2"/>
  <c r="Q50" i="2"/>
  <c r="Q49" i="2"/>
  <c r="Q47" i="2"/>
  <c r="Q46" i="2"/>
  <c r="Q43" i="2"/>
  <c r="Q38" i="2"/>
  <c r="Q33" i="2"/>
  <c r="Q22" i="2"/>
  <c r="Q17" i="2"/>
  <c r="Q15" i="2"/>
  <c r="Q10" i="2"/>
  <c r="Q6" i="2"/>
  <c r="N197" i="2"/>
  <c r="M197" i="2"/>
  <c r="N188" i="2"/>
  <c r="M188" i="2"/>
  <c r="N172" i="2"/>
  <c r="M172" i="2"/>
  <c r="N171" i="2"/>
  <c r="M171" i="2"/>
  <c r="N170" i="2"/>
  <c r="N169" i="2"/>
  <c r="M169" i="2"/>
  <c r="M168" i="2"/>
  <c r="N167" i="2"/>
  <c r="M167" i="2"/>
  <c r="N165" i="2"/>
  <c r="M165" i="2"/>
  <c r="N164" i="2"/>
  <c r="M164" i="2"/>
  <c r="N163" i="2"/>
  <c r="N162" i="2"/>
  <c r="N161" i="2"/>
  <c r="M161" i="2"/>
  <c r="M160" i="2"/>
  <c r="N159" i="2"/>
  <c r="M159" i="2"/>
  <c r="N157" i="2"/>
  <c r="M157" i="2"/>
  <c r="N153" i="2"/>
  <c r="M153" i="2"/>
  <c r="N152" i="2"/>
  <c r="M152" i="2"/>
  <c r="N151" i="2"/>
  <c r="N150" i="2"/>
  <c r="N149" i="2"/>
  <c r="N148" i="2"/>
  <c r="M148" i="2"/>
  <c r="N147" i="2"/>
  <c r="N146" i="2"/>
  <c r="N145" i="2"/>
  <c r="N144" i="2"/>
  <c r="M144" i="2"/>
  <c r="N143" i="2"/>
  <c r="M143" i="2"/>
  <c r="N142" i="2"/>
  <c r="N141" i="2"/>
  <c r="M141" i="2"/>
  <c r="N140" i="2"/>
  <c r="M140" i="2"/>
  <c r="N139" i="2"/>
  <c r="N138" i="2"/>
  <c r="N137" i="2"/>
  <c r="N136" i="2"/>
  <c r="M136" i="2"/>
  <c r="N135" i="2"/>
  <c r="N134" i="2"/>
  <c r="N133" i="2"/>
  <c r="M133" i="2"/>
  <c r="N132" i="2"/>
  <c r="N131" i="2"/>
  <c r="N129" i="2"/>
  <c r="N128" i="2"/>
  <c r="N127" i="2"/>
  <c r="M127" i="2"/>
  <c r="N126" i="2"/>
  <c r="N125" i="2"/>
  <c r="N124" i="2"/>
  <c r="M124" i="2"/>
  <c r="N123" i="2"/>
  <c r="M123" i="2"/>
  <c r="N122" i="2"/>
  <c r="N121" i="2"/>
  <c r="N120" i="2"/>
  <c r="M120" i="2"/>
  <c r="N119" i="2"/>
  <c r="N118" i="2"/>
  <c r="N117" i="2"/>
  <c r="N116" i="2"/>
  <c r="N115" i="2"/>
  <c r="N114" i="2"/>
  <c r="M114" i="2"/>
  <c r="N113" i="2"/>
  <c r="M112" i="2"/>
  <c r="N111" i="2"/>
  <c r="M111" i="2"/>
  <c r="N110" i="2"/>
  <c r="N109" i="2"/>
  <c r="M109" i="2"/>
  <c r="N108" i="2"/>
  <c r="M108" i="2"/>
  <c r="N107" i="2"/>
  <c r="M107" i="2"/>
  <c r="N106" i="2"/>
  <c r="N101" i="2"/>
  <c r="M101" i="2"/>
  <c r="N100" i="2"/>
  <c r="N99" i="2"/>
  <c r="N98" i="2"/>
  <c r="M98" i="2"/>
  <c r="N97" i="2"/>
  <c r="N95" i="2"/>
  <c r="N94" i="2"/>
  <c r="M94" i="2"/>
  <c r="N93" i="2"/>
  <c r="M93" i="2"/>
  <c r="M92" i="2"/>
  <c r="N91" i="2"/>
  <c r="N90" i="2"/>
  <c r="M90" i="2"/>
  <c r="N88" i="2"/>
  <c r="N83" i="2"/>
  <c r="M83" i="2"/>
  <c r="N82" i="2"/>
  <c r="M82" i="2"/>
  <c r="N81" i="2"/>
  <c r="N80" i="2"/>
  <c r="M80" i="2"/>
  <c r="N74" i="2"/>
  <c r="N73" i="2"/>
  <c r="M73" i="2"/>
  <c r="N71" i="2"/>
  <c r="M71" i="2"/>
  <c r="N70" i="2"/>
  <c r="N69" i="2"/>
  <c r="N66" i="2"/>
  <c r="N65" i="2"/>
  <c r="N64" i="2"/>
  <c r="M64" i="2"/>
  <c r="N63" i="2"/>
  <c r="N59" i="2"/>
  <c r="N57" i="2"/>
  <c r="M57" i="2"/>
  <c r="M55" i="2"/>
  <c r="N52" i="2"/>
  <c r="N51" i="2"/>
  <c r="M51" i="2"/>
  <c r="N49" i="2"/>
  <c r="N48" i="2"/>
  <c r="N47" i="2"/>
  <c r="N46" i="2"/>
  <c r="N43" i="2"/>
  <c r="M43" i="2"/>
  <c r="N38" i="2"/>
  <c r="N33" i="2"/>
  <c r="N32" i="2"/>
  <c r="N24" i="2"/>
  <c r="N21" i="2"/>
  <c r="N20" i="2"/>
  <c r="N18" i="2"/>
  <c r="N17" i="2"/>
  <c r="N15" i="2"/>
  <c r="N10" i="2"/>
  <c r="N6" i="2"/>
  <c r="G198" i="2"/>
  <c r="G197" i="2"/>
  <c r="G196" i="2"/>
  <c r="G194" i="2"/>
  <c r="G190" i="2"/>
  <c r="G189" i="2"/>
  <c r="G188" i="2"/>
  <c r="G187" i="2"/>
  <c r="G186" i="2"/>
  <c r="G177" i="2"/>
  <c r="G172" i="2"/>
  <c r="G170" i="2"/>
  <c r="G167" i="2"/>
  <c r="G165" i="2"/>
  <c r="G163" i="2"/>
  <c r="G161" i="2"/>
  <c r="G159" i="2"/>
  <c r="G157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2" i="2"/>
  <c r="G101" i="2"/>
  <c r="G99" i="2"/>
  <c r="G98" i="2"/>
  <c r="G97" i="2"/>
  <c r="G95" i="2"/>
  <c r="G94" i="2"/>
  <c r="G93" i="2"/>
  <c r="G92" i="2"/>
  <c r="G91" i="2"/>
  <c r="G90" i="2"/>
  <c r="G89" i="2"/>
  <c r="G85" i="2"/>
  <c r="G84" i="2"/>
  <c r="G83" i="2"/>
  <c r="G82" i="2"/>
  <c r="G81" i="2"/>
  <c r="G80" i="2"/>
  <c r="G76" i="2"/>
  <c r="G75" i="2"/>
  <c r="G74" i="2"/>
  <c r="G73" i="2"/>
  <c r="G70" i="2"/>
  <c r="G69" i="2"/>
  <c r="G68" i="2"/>
  <c r="G67" i="2"/>
  <c r="G66" i="2"/>
  <c r="G65" i="2"/>
  <c r="G63" i="2"/>
  <c r="G62" i="2"/>
  <c r="G61" i="2"/>
  <c r="G60" i="2"/>
  <c r="G57" i="2"/>
  <c r="G56" i="2"/>
  <c r="G55" i="2"/>
  <c r="G54" i="2"/>
  <c r="G53" i="2"/>
  <c r="G52" i="2"/>
  <c r="G49" i="2"/>
  <c r="G48" i="2"/>
  <c r="G47" i="2"/>
  <c r="G46" i="2"/>
  <c r="G44" i="2"/>
  <c r="G43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197" i="2"/>
  <c r="F188" i="2"/>
  <c r="F172" i="2"/>
  <c r="F170" i="2"/>
  <c r="F167" i="2"/>
  <c r="F163" i="2"/>
  <c r="F159" i="2"/>
  <c r="F153" i="2"/>
  <c r="F152" i="2"/>
  <c r="F149" i="2"/>
  <c r="F147" i="2"/>
  <c r="F145" i="2"/>
  <c r="F144" i="2"/>
  <c r="F142" i="2"/>
  <c r="F141" i="2"/>
  <c r="F140" i="2"/>
  <c r="F139" i="2"/>
  <c r="F138" i="2"/>
  <c r="F137" i="2"/>
  <c r="F133" i="2"/>
  <c r="F132" i="2"/>
  <c r="F128" i="2"/>
  <c r="F127" i="2"/>
  <c r="F124" i="2"/>
  <c r="F123" i="2"/>
  <c r="F120" i="2"/>
  <c r="F115" i="2"/>
  <c r="F111" i="2"/>
  <c r="F110" i="2"/>
  <c r="F108" i="2"/>
  <c r="F107" i="2"/>
  <c r="F85" i="2"/>
  <c r="F80" i="2"/>
  <c r="F73" i="2"/>
  <c r="F71" i="2"/>
  <c r="F69" i="2"/>
  <c r="F67" i="2"/>
  <c r="F65" i="2"/>
  <c r="F61" i="2"/>
  <c r="F56" i="2"/>
  <c r="F55" i="2"/>
  <c r="F48" i="2"/>
  <c r="F38" i="2"/>
  <c r="F35" i="2"/>
  <c r="F33" i="2"/>
  <c r="F22" i="2"/>
  <c r="F21" i="2"/>
  <c r="F18" i="2"/>
  <c r="F17" i="2"/>
  <c r="F15" i="2"/>
  <c r="A173" i="2"/>
  <c r="A224" i="2" s="1"/>
  <c r="C8" i="10" s="1"/>
  <c r="A223" i="2"/>
  <c r="C14" i="5"/>
  <c r="S14" i="5" s="1"/>
  <c r="R14" i="5"/>
  <c r="J173" i="2"/>
  <c r="C173" i="2"/>
  <c r="C224" i="2" s="1"/>
  <c r="B20" i="10" s="1"/>
  <c r="M150" i="2"/>
  <c r="M149" i="2"/>
  <c r="M147" i="2"/>
  <c r="M145" i="2"/>
  <c r="M137" i="2"/>
  <c r="M134" i="2"/>
  <c r="M132" i="2"/>
  <c r="M128" i="2"/>
  <c r="M126" i="2"/>
  <c r="M119" i="2"/>
  <c r="F119" i="2"/>
  <c r="F118" i="2"/>
  <c r="M117" i="2"/>
  <c r="M116" i="2"/>
  <c r="F116" i="2"/>
  <c r="M115" i="2"/>
  <c r="M81" i="2"/>
  <c r="M34" i="2"/>
  <c r="M19" i="2"/>
  <c r="M18" i="2"/>
  <c r="R27" i="5"/>
  <c r="R20" i="5"/>
  <c r="R17" i="5"/>
  <c r="A183" i="2"/>
  <c r="A225" i="2" s="1"/>
  <c r="C9" i="10" s="1"/>
  <c r="A103" i="2"/>
  <c r="A222" i="2" s="1"/>
  <c r="C6" i="10" s="1"/>
  <c r="A77" i="2"/>
  <c r="A221" i="2" s="1"/>
  <c r="C5" i="10" s="1"/>
  <c r="C103" i="2"/>
  <c r="C222" i="2" s="1"/>
  <c r="B18" i="10" s="1"/>
  <c r="J221" i="2"/>
  <c r="C29" i="10" s="1"/>
  <c r="C221" i="2"/>
  <c r="B17" i="10" s="1"/>
  <c r="C213" i="2"/>
  <c r="C20" i="5"/>
  <c r="S20" i="5" s="1"/>
  <c r="C30" i="5"/>
  <c r="S30" i="5" s="1"/>
  <c r="C33" i="5"/>
  <c r="S33" i="5" s="1"/>
  <c r="A210" i="2"/>
  <c r="H4" i="12" s="1"/>
  <c r="X4" i="12" s="1"/>
  <c r="R33" i="5"/>
  <c r="R36" i="5"/>
  <c r="C3" i="10"/>
  <c r="B3" i="10"/>
  <c r="K7" i="2"/>
  <c r="R53" i="5"/>
  <c r="R35" i="5"/>
  <c r="R31" i="5"/>
  <c r="R19" i="5"/>
  <c r="R15" i="5"/>
  <c r="R51" i="5"/>
  <c r="R50" i="5"/>
  <c r="R48" i="5"/>
  <c r="R47" i="5"/>
  <c r="R45" i="5"/>
  <c r="R44" i="5"/>
  <c r="R43" i="5"/>
  <c r="R41" i="5"/>
  <c r="R39" i="5"/>
  <c r="R38" i="5"/>
  <c r="R37" i="5"/>
  <c r="R34" i="5"/>
  <c r="R32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214" i="2"/>
  <c r="O208" i="2"/>
  <c r="O206" i="2"/>
  <c r="K214" i="2"/>
  <c r="K205" i="2"/>
  <c r="O199" i="2"/>
  <c r="K199" i="2"/>
  <c r="O183" i="2"/>
  <c r="O225" i="2" s="1"/>
  <c r="K183" i="2"/>
  <c r="K225" i="2" s="1"/>
  <c r="K103" i="2"/>
  <c r="K222" i="2" s="1"/>
  <c r="O77" i="2"/>
  <c r="O221" i="2" s="1"/>
  <c r="O40" i="2"/>
  <c r="O220" i="2" s="1"/>
  <c r="K40" i="2"/>
  <c r="K220" i="2" s="1"/>
  <c r="J40" i="2"/>
  <c r="J220" i="2" s="1"/>
  <c r="C28" i="10" s="1"/>
  <c r="O7" i="2"/>
  <c r="O219" i="2" s="1"/>
  <c r="J7" i="2"/>
  <c r="C7" i="2"/>
  <c r="R226" i="2"/>
  <c r="B10" i="10" s="1"/>
  <c r="R225" i="2"/>
  <c r="B9" i="10" s="1"/>
  <c r="R224" i="2"/>
  <c r="B8" i="10" s="1"/>
  <c r="R223" i="2"/>
  <c r="R222" i="2"/>
  <c r="B6" i="10" s="1"/>
  <c r="R221" i="2"/>
  <c r="B5" i="10" s="1"/>
  <c r="R220" i="2"/>
  <c r="B4" i="10" s="1"/>
  <c r="A199" i="2"/>
  <c r="A226" i="2" s="1"/>
  <c r="C10" i="10" s="1"/>
  <c r="J199" i="2"/>
  <c r="J226" i="2" s="1"/>
  <c r="C34" i="10" s="1"/>
  <c r="C199" i="2"/>
  <c r="C226" i="2" s="1"/>
  <c r="B22" i="10" s="1"/>
  <c r="A40" i="2"/>
  <c r="C40" i="2"/>
  <c r="C220" i="2" s="1"/>
  <c r="B16" i="10" s="1"/>
  <c r="C209" i="2"/>
  <c r="C206" i="2"/>
  <c r="J209" i="2"/>
  <c r="J206" i="2"/>
  <c r="J213" i="2"/>
  <c r="A214" i="2"/>
  <c r="L4" i="12" s="1"/>
  <c r="AB4" i="12" s="1"/>
  <c r="A213" i="2"/>
  <c r="K4" i="12" s="1"/>
  <c r="AA4" i="12" s="1"/>
  <c r="A212" i="2"/>
  <c r="J4" i="12" s="1"/>
  <c r="Z4" i="12" s="1"/>
  <c r="A211" i="2"/>
  <c r="I4" i="12" s="1"/>
  <c r="Y4" i="12" s="1"/>
  <c r="A209" i="2"/>
  <c r="G4" i="12" s="1"/>
  <c r="A208" i="2"/>
  <c r="F4" i="12" s="1"/>
  <c r="V4" i="12" s="1"/>
  <c r="A207" i="2"/>
  <c r="E4" i="12" s="1"/>
  <c r="U4" i="12" s="1"/>
  <c r="A206" i="2"/>
  <c r="D4" i="12" s="1"/>
  <c r="T4" i="12" s="1"/>
  <c r="A205" i="2"/>
  <c r="C4" i="12" s="1"/>
  <c r="J211" i="2"/>
  <c r="J210" i="2"/>
  <c r="C208" i="2"/>
  <c r="J214" i="2"/>
  <c r="C214" i="2"/>
  <c r="J207" i="2"/>
  <c r="C207" i="2"/>
  <c r="J212" i="2"/>
  <c r="C205" i="2"/>
  <c r="J205" i="2"/>
  <c r="J208" i="2"/>
  <c r="C211" i="2"/>
  <c r="C212" i="2"/>
  <c r="J183" i="2"/>
  <c r="J225" i="2" s="1"/>
  <c r="C33" i="10" s="1"/>
  <c r="C183" i="2"/>
  <c r="J103" i="2"/>
  <c r="J222" i="2" s="1"/>
  <c r="C30" i="10" s="1"/>
  <c r="A7" i="2"/>
  <c r="R219" i="2" s="1"/>
  <c r="N178" i="2"/>
  <c r="M179" i="2"/>
  <c r="R49" i="5"/>
  <c r="M15" i="5"/>
  <c r="AC15" i="5" s="1"/>
  <c r="M12" i="5"/>
  <c r="AC12" i="5" s="1"/>
  <c r="M22" i="5"/>
  <c r="AC22" i="5" s="1"/>
  <c r="M28" i="5"/>
  <c r="M37" i="5"/>
  <c r="AC37" i="5" s="1"/>
  <c r="M24" i="5"/>
  <c r="AC24" i="5" s="1"/>
  <c r="M41" i="5"/>
  <c r="R30" i="5"/>
  <c r="M29" i="5"/>
  <c r="AC29" i="5" s="1"/>
  <c r="Q18" i="2"/>
  <c r="M35" i="5"/>
  <c r="AC35" i="5" s="1"/>
  <c r="M40" i="5"/>
  <c r="AC40" i="5" s="1"/>
  <c r="M44" i="5"/>
  <c r="AC44" i="5" s="1"/>
  <c r="M50" i="5"/>
  <c r="AC50" i="5" s="1"/>
  <c r="M31" i="5"/>
  <c r="AC31" i="5" s="1"/>
  <c r="M45" i="5"/>
  <c r="AC45" i="5" s="1"/>
  <c r="M51" i="5"/>
  <c r="AC51" i="5" s="1"/>
  <c r="M48" i="5"/>
  <c r="AC48" i="5" s="1"/>
  <c r="F106" i="2"/>
  <c r="N56" i="2"/>
  <c r="E212" i="2"/>
  <c r="J5" i="12" s="1"/>
  <c r="Z5" i="12" s="1"/>
  <c r="G87" i="2"/>
  <c r="L207" i="2"/>
  <c r="E6" i="12" s="1"/>
  <c r="M18" i="5"/>
  <c r="AC18" i="5" s="1"/>
  <c r="G72" i="2"/>
  <c r="E208" i="2"/>
  <c r="F5" i="12" s="1"/>
  <c r="V5" i="12" s="1"/>
  <c r="F72" i="2"/>
  <c r="M47" i="5"/>
  <c r="AC47" i="5" s="1"/>
  <c r="M100" i="2"/>
  <c r="M13" i="5"/>
  <c r="AC13" i="5" s="1"/>
  <c r="M25" i="5"/>
  <c r="AC25" i="5" s="1"/>
  <c r="M32" i="5"/>
  <c r="AC32" i="5" s="1"/>
  <c r="M27" i="2"/>
  <c r="L40" i="2"/>
  <c r="L220" i="2" s="1"/>
  <c r="E214" i="2"/>
  <c r="L5" i="12" s="1"/>
  <c r="AB5" i="12" s="1"/>
  <c r="E103" i="2"/>
  <c r="E222" i="2" s="1"/>
  <c r="Q82" i="2"/>
  <c r="F27" i="2"/>
  <c r="G27" i="2"/>
  <c r="M22" i="2"/>
  <c r="N22" i="2"/>
  <c r="M166" i="2"/>
  <c r="L173" i="2"/>
  <c r="L224" i="2" s="1"/>
  <c r="D32" i="10" s="1"/>
  <c r="M180" i="2"/>
  <c r="N176" i="2"/>
  <c r="M181" i="2"/>
  <c r="N181" i="2"/>
  <c r="N182" i="2"/>
  <c r="M182" i="2"/>
  <c r="L183" i="2"/>
  <c r="L225" i="2" s="1"/>
  <c r="F182" i="2"/>
  <c r="F176" i="2"/>
  <c r="G176" i="2"/>
  <c r="M16" i="5"/>
  <c r="AC16" i="5" s="1"/>
  <c r="M26" i="5"/>
  <c r="AC26" i="5" s="1"/>
  <c r="M34" i="5"/>
  <c r="AC34" i="5" s="1"/>
  <c r="C49" i="5"/>
  <c r="S49" i="5" s="1"/>
  <c r="M42" i="5"/>
  <c r="AC42" i="5" s="1"/>
  <c r="C27" i="5"/>
  <c r="S27" i="5" s="1"/>
  <c r="F178" i="2"/>
  <c r="G181" i="2"/>
  <c r="F179" i="2"/>
  <c r="P206" i="2"/>
  <c r="F180" i="2"/>
  <c r="D183" i="2"/>
  <c r="D225" i="2" s="1"/>
  <c r="R7" i="5"/>
  <c r="O205" i="2"/>
  <c r="O173" i="2"/>
  <c r="O224" i="2" s="1"/>
  <c r="Q110" i="2"/>
  <c r="Q114" i="2"/>
  <c r="Q83" i="2"/>
  <c r="Q84" i="2"/>
  <c r="O213" i="2"/>
  <c r="O209" i="2"/>
  <c r="M158" i="2"/>
  <c r="K211" i="2"/>
  <c r="M52" i="2"/>
  <c r="M56" i="2"/>
  <c r="K209" i="2"/>
  <c r="P214" i="2"/>
  <c r="Q100" i="2"/>
  <c r="Q95" i="2"/>
  <c r="P211" i="2"/>
  <c r="N45" i="2"/>
  <c r="M45" i="2"/>
  <c r="M60" i="2"/>
  <c r="N60" i="2"/>
  <c r="N67" i="2"/>
  <c r="M67" i="2"/>
  <c r="N75" i="2"/>
  <c r="M75" i="2"/>
  <c r="P213" i="2"/>
  <c r="Q45" i="2"/>
  <c r="P103" i="2"/>
  <c r="P222" i="2" s="1"/>
  <c r="P212" i="2"/>
  <c r="M72" i="2"/>
  <c r="L208" i="2"/>
  <c r="F6" i="12" s="1"/>
  <c r="V6" i="12" s="1"/>
  <c r="L214" i="2"/>
  <c r="L6" i="12" s="1"/>
  <c r="AB6" i="12" s="1"/>
  <c r="M85" i="2"/>
  <c r="P207" i="2"/>
  <c r="L103" i="2"/>
  <c r="N72" i="2"/>
  <c r="P199" i="2"/>
  <c r="N84" i="2"/>
  <c r="L212" i="2"/>
  <c r="J6" i="12" s="1"/>
  <c r="Z6" i="12" s="1"/>
  <c r="M84" i="2"/>
  <c r="M28" i="2"/>
  <c r="N28" i="2"/>
  <c r="P40" i="2"/>
  <c r="Q12" i="2"/>
  <c r="M106" i="2"/>
  <c r="L154" i="2"/>
  <c r="P154" i="2"/>
  <c r="M61" i="2"/>
  <c r="N68" i="2"/>
  <c r="N85" i="2"/>
  <c r="N89" i="2"/>
  <c r="M96" i="2"/>
  <c r="M12" i="2"/>
  <c r="N12" i="2"/>
  <c r="F157" i="2"/>
  <c r="F161" i="2"/>
  <c r="D223" i="2"/>
  <c r="F109" i="2"/>
  <c r="F101" i="2"/>
  <c r="F90" i="2"/>
  <c r="F95" i="2"/>
  <c r="F47" i="2"/>
  <c r="D213" i="2"/>
  <c r="F59" i="2"/>
  <c r="F64" i="2"/>
  <c r="F83" i="2"/>
  <c r="D212" i="2"/>
  <c r="D214" i="2"/>
  <c r="D103" i="2"/>
  <c r="D222" i="2" s="1"/>
  <c r="F45" i="2"/>
  <c r="D207" i="2"/>
  <c r="D206" i="2"/>
  <c r="F50" i="2"/>
  <c r="E206" i="2"/>
  <c r="D5" i="12" s="1"/>
  <c r="T5" i="12" s="1"/>
  <c r="G50" i="2"/>
  <c r="F169" i="2"/>
  <c r="F171" i="2"/>
  <c r="D173" i="2"/>
  <c r="D224" i="2" s="1"/>
  <c r="F158" i="2"/>
  <c r="G160" i="2"/>
  <c r="F164" i="2"/>
  <c r="F168" i="2"/>
  <c r="G168" i="2"/>
  <c r="D205" i="2"/>
  <c r="G171" i="2"/>
  <c r="G169" i="2"/>
  <c r="G162" i="2"/>
  <c r="E205" i="2"/>
  <c r="C5" i="12" s="1"/>
  <c r="G158" i="2"/>
  <c r="G164" i="2"/>
  <c r="F166" i="2"/>
  <c r="F162" i="2"/>
  <c r="F160" i="2"/>
  <c r="E173" i="2"/>
  <c r="G166" i="2"/>
  <c r="K77" i="2"/>
  <c r="K221" i="2" s="1"/>
  <c r="K206" i="2"/>
  <c r="L77" i="2"/>
  <c r="N50" i="2"/>
  <c r="M50" i="2"/>
  <c r="L206" i="2"/>
  <c r="D6" i="12" s="1"/>
  <c r="T6" i="12" s="1"/>
  <c r="S4" i="12" l="1"/>
  <c r="M4" i="12"/>
  <c r="AC4" i="12" s="1"/>
  <c r="W4" i="12"/>
  <c r="R4" i="12"/>
  <c r="R5" i="12"/>
  <c r="W5" i="12"/>
  <c r="M6" i="12"/>
  <c r="U6" i="12"/>
  <c r="S5" i="12"/>
  <c r="M5" i="12"/>
  <c r="AC5" i="12" s="1"/>
  <c r="W6" i="12"/>
  <c r="R6" i="12"/>
  <c r="A215" i="2"/>
  <c r="A201" i="2"/>
  <c r="A220" i="2"/>
  <c r="C4" i="10" s="1"/>
  <c r="N28" i="5"/>
  <c r="AC28" i="5"/>
  <c r="N39" i="5"/>
  <c r="AC39" i="5"/>
  <c r="O41" i="5"/>
  <c r="AC41" i="5"/>
  <c r="R11" i="5"/>
  <c r="C5" i="5"/>
  <c r="J6" i="5"/>
  <c r="F6" i="5"/>
  <c r="F5" i="5"/>
  <c r="D4" i="5"/>
  <c r="F4" i="5"/>
  <c r="I4" i="5"/>
  <c r="K4" i="5"/>
  <c r="H4" i="5"/>
  <c r="H5" i="5"/>
  <c r="E5" i="5"/>
  <c r="I5" i="5"/>
  <c r="I6" i="5"/>
  <c r="D6" i="5"/>
  <c r="D5" i="5"/>
  <c r="L6" i="5"/>
  <c r="K6" i="5"/>
  <c r="L5" i="5"/>
  <c r="E6" i="5"/>
  <c r="J5" i="5"/>
  <c r="C4" i="5"/>
  <c r="E4" i="5"/>
  <c r="G4" i="5"/>
  <c r="J4" i="5"/>
  <c r="L4" i="5"/>
  <c r="H6" i="5"/>
  <c r="G5" i="5"/>
  <c r="K5" i="5"/>
  <c r="G6" i="5"/>
  <c r="N25" i="5"/>
  <c r="O25" i="5"/>
  <c r="A219" i="2"/>
  <c r="M27" i="5"/>
  <c r="AC27" i="5" s="1"/>
  <c r="B7" i="10"/>
  <c r="B11" i="10" s="1"/>
  <c r="G183" i="2"/>
  <c r="Q208" i="2"/>
  <c r="Q206" i="2"/>
  <c r="M210" i="2"/>
  <c r="M46" i="5"/>
  <c r="M36" i="5"/>
  <c r="F154" i="2"/>
  <c r="C225" i="2"/>
  <c r="B21" i="10" s="1"/>
  <c r="Q211" i="2"/>
  <c r="Q213" i="2"/>
  <c r="Q154" i="2"/>
  <c r="F219" i="2"/>
  <c r="N226" i="2"/>
  <c r="M154" i="2"/>
  <c r="G77" i="2"/>
  <c r="M205" i="2"/>
  <c r="N199" i="2"/>
  <c r="K215" i="2"/>
  <c r="F199" i="2"/>
  <c r="N205" i="2"/>
  <c r="G173" i="2"/>
  <c r="Q40" i="2"/>
  <c r="M103" i="2"/>
  <c r="F226" i="2"/>
  <c r="G199" i="2"/>
  <c r="Q199" i="2"/>
  <c r="M49" i="5"/>
  <c r="AC49" i="5" s="1"/>
  <c r="N41" i="5"/>
  <c r="N34" i="5"/>
  <c r="M30" i="5"/>
  <c r="M17" i="5"/>
  <c r="AC17" i="5" s="1"/>
  <c r="F211" i="2"/>
  <c r="N209" i="2"/>
  <c r="Q209" i="2"/>
  <c r="M77" i="2"/>
  <c r="G226" i="2"/>
  <c r="N183" i="2"/>
  <c r="Q214" i="2"/>
  <c r="E224" i="2"/>
  <c r="C20" i="10" s="1"/>
  <c r="F212" i="2"/>
  <c r="G212" i="2"/>
  <c r="N210" i="2"/>
  <c r="P215" i="2"/>
  <c r="Q212" i="2"/>
  <c r="P223" i="2"/>
  <c r="Q223" i="2" s="1"/>
  <c r="N40" i="2"/>
  <c r="M40" i="2"/>
  <c r="N213" i="2"/>
  <c r="N212" i="2"/>
  <c r="M213" i="2"/>
  <c r="M207" i="2"/>
  <c r="N206" i="2"/>
  <c r="M206" i="2"/>
  <c r="M211" i="2"/>
  <c r="N208" i="2"/>
  <c r="N207" i="2"/>
  <c r="D33" i="10"/>
  <c r="B33" i="10" s="1"/>
  <c r="M225" i="2"/>
  <c r="N220" i="2"/>
  <c r="M220" i="2"/>
  <c r="D28" i="10"/>
  <c r="B28" i="10" s="1"/>
  <c r="F222" i="2"/>
  <c r="C18" i="10"/>
  <c r="Q225" i="2"/>
  <c r="M214" i="2"/>
  <c r="E221" i="2"/>
  <c r="C17" i="10" s="1"/>
  <c r="D34" i="10"/>
  <c r="B34" i="10" s="1"/>
  <c r="M183" i="2"/>
  <c r="Q205" i="2"/>
  <c r="Q222" i="2"/>
  <c r="F210" i="2"/>
  <c r="M224" i="2"/>
  <c r="F77" i="2"/>
  <c r="G207" i="2"/>
  <c r="J201" i="2"/>
  <c r="G40" i="2"/>
  <c r="F173" i="2"/>
  <c r="P226" i="2"/>
  <c r="M209" i="2"/>
  <c r="N214" i="2"/>
  <c r="N211" i="2"/>
  <c r="O215" i="2"/>
  <c r="Q210" i="2"/>
  <c r="G208" i="2"/>
  <c r="G213" i="2"/>
  <c r="G205" i="2"/>
  <c r="C16" i="10"/>
  <c r="F220" i="2"/>
  <c r="G220" i="2"/>
  <c r="F40" i="2"/>
  <c r="F213" i="2"/>
  <c r="F208" i="2"/>
  <c r="G206" i="2"/>
  <c r="F206" i="2"/>
  <c r="G209" i="2"/>
  <c r="F205" i="2"/>
  <c r="F209" i="2"/>
  <c r="G211" i="2"/>
  <c r="G210" i="2"/>
  <c r="Q219" i="2"/>
  <c r="K226" i="2"/>
  <c r="M226" i="2" s="1"/>
  <c r="M199" i="2"/>
  <c r="Q173" i="2"/>
  <c r="P224" i="2"/>
  <c r="Q224" i="2" s="1"/>
  <c r="F207" i="2"/>
  <c r="C201" i="2"/>
  <c r="G222" i="2"/>
  <c r="K201" i="2"/>
  <c r="M14" i="5"/>
  <c r="AC14" i="5" s="1"/>
  <c r="F7" i="2"/>
  <c r="L201" i="2"/>
  <c r="N77" i="2"/>
  <c r="Q207" i="2"/>
  <c r="M208" i="2"/>
  <c r="G103" i="2"/>
  <c r="F103" i="2"/>
  <c r="M33" i="5"/>
  <c r="R227" i="2"/>
  <c r="O201" i="2"/>
  <c r="O226" i="2"/>
  <c r="O227" i="2" s="1"/>
  <c r="D221" i="2"/>
  <c r="D201" i="2"/>
  <c r="N154" i="2"/>
  <c r="L223" i="2"/>
  <c r="N103" i="2"/>
  <c r="L222" i="2"/>
  <c r="F214" i="2"/>
  <c r="N18" i="5"/>
  <c r="C219" i="2"/>
  <c r="G7" i="2"/>
  <c r="J224" i="2"/>
  <c r="N173" i="2"/>
  <c r="Q183" i="2"/>
  <c r="P201" i="2"/>
  <c r="F183" i="2"/>
  <c r="G154" i="2"/>
  <c r="M173" i="2"/>
  <c r="N225" i="2"/>
  <c r="M212" i="2"/>
  <c r="L221" i="2"/>
  <c r="E201" i="2"/>
  <c r="L215" i="2"/>
  <c r="G214" i="2"/>
  <c r="Q103" i="2"/>
  <c r="E223" i="2"/>
  <c r="P220" i="2"/>
  <c r="E225" i="2"/>
  <c r="M52" i="5"/>
  <c r="AC52" i="5" s="1"/>
  <c r="O24" i="5"/>
  <c r="N24" i="5"/>
  <c r="N7" i="2"/>
  <c r="J219" i="2"/>
  <c r="K219" i="2"/>
  <c r="M7" i="2"/>
  <c r="Q7" i="2"/>
  <c r="P221" i="2"/>
  <c r="Q221" i="2" s="1"/>
  <c r="Q77" i="2"/>
  <c r="M11" i="5"/>
  <c r="AC6" i="12" l="1"/>
  <c r="N6" i="12"/>
  <c r="O6" i="12" s="1"/>
  <c r="A227" i="2"/>
  <c r="M4" i="5"/>
  <c r="AB4" i="5"/>
  <c r="S4" i="5"/>
  <c r="U6" i="5"/>
  <c r="AA6" i="5"/>
  <c r="Y6" i="5"/>
  <c r="T5" i="5"/>
  <c r="U5" i="5"/>
  <c r="X4" i="5"/>
  <c r="Y4" i="5"/>
  <c r="T4" i="5"/>
  <c r="V6" i="5"/>
  <c r="S5" i="5"/>
  <c r="R4" i="5"/>
  <c r="W4" i="5"/>
  <c r="Z4" i="5"/>
  <c r="U4" i="5"/>
  <c r="AA4" i="5"/>
  <c r="V4" i="5"/>
  <c r="R6" i="5"/>
  <c r="W6" i="5"/>
  <c r="R5" i="5"/>
  <c r="W5" i="5"/>
  <c r="N33" i="5"/>
  <c r="AC33" i="5"/>
  <c r="N30" i="5"/>
  <c r="AC30" i="5"/>
  <c r="N36" i="5"/>
  <c r="AC36" i="5"/>
  <c r="N46" i="5"/>
  <c r="AC46" i="5"/>
  <c r="AA5" i="5"/>
  <c r="X6" i="5"/>
  <c r="Z5" i="5"/>
  <c r="AB5" i="5"/>
  <c r="AB6" i="5"/>
  <c r="T6" i="5"/>
  <c r="Y5" i="5"/>
  <c r="X5" i="5"/>
  <c r="V5" i="5"/>
  <c r="Z6" i="5"/>
  <c r="N8" i="5"/>
  <c r="AC11" i="5"/>
  <c r="M21" i="5"/>
  <c r="AC21" i="5" s="1"/>
  <c r="Y21" i="5"/>
  <c r="I20" i="5"/>
  <c r="Y20" i="5" s="1"/>
  <c r="M19" i="5"/>
  <c r="C7" i="10"/>
  <c r="C11" i="10" s="1"/>
  <c r="H173" i="2"/>
  <c r="H205" i="2"/>
  <c r="H215" i="2" s="1"/>
  <c r="N27" i="5"/>
  <c r="N14" i="5"/>
  <c r="O27" i="5"/>
  <c r="K227" i="2"/>
  <c r="Q201" i="2"/>
  <c r="N12" i="5"/>
  <c r="F224" i="2"/>
  <c r="G221" i="2"/>
  <c r="Q215" i="2"/>
  <c r="G224" i="2"/>
  <c r="M6" i="5"/>
  <c r="M5" i="5"/>
  <c r="N219" i="2"/>
  <c r="J227" i="2"/>
  <c r="J215" i="2" s="1"/>
  <c r="N215" i="2" s="1"/>
  <c r="F223" i="2"/>
  <c r="G223" i="2"/>
  <c r="C19" i="10"/>
  <c r="E227" i="2"/>
  <c r="F201" i="2"/>
  <c r="G201" i="2"/>
  <c r="N201" i="2"/>
  <c r="M201" i="2"/>
  <c r="Q226" i="2"/>
  <c r="Q220" i="2"/>
  <c r="P227" i="2"/>
  <c r="Q227" i="2" s="1"/>
  <c r="M215" i="2"/>
  <c r="C32" i="10"/>
  <c r="B32" i="10" s="1"/>
  <c r="N224" i="2"/>
  <c r="D31" i="10"/>
  <c r="N223" i="2"/>
  <c r="M223" i="2"/>
  <c r="M221" i="2"/>
  <c r="L227" i="2"/>
  <c r="N221" i="2"/>
  <c r="D29" i="10"/>
  <c r="G219" i="2"/>
  <c r="C227" i="2"/>
  <c r="C215" i="2" s="1"/>
  <c r="N222" i="2"/>
  <c r="M222" i="2"/>
  <c r="D30" i="10"/>
  <c r="B30" i="10" s="1"/>
  <c r="B19" i="10"/>
  <c r="B23" i="10" s="1"/>
  <c r="C31" i="10"/>
  <c r="F225" i="2"/>
  <c r="C21" i="10"/>
  <c r="G225" i="2"/>
  <c r="D227" i="2"/>
  <c r="D215" i="2" s="1"/>
  <c r="F221" i="2"/>
  <c r="M219" i="2"/>
  <c r="AC4" i="5" l="1"/>
  <c r="M20" i="5"/>
  <c r="O18" i="5" s="1"/>
  <c r="AC19" i="5"/>
  <c r="AC5" i="5"/>
  <c r="N6" i="5"/>
  <c r="O6" i="5" s="1"/>
  <c r="AC6" i="5"/>
  <c r="H224" i="2"/>
  <c r="H227" i="2" s="1"/>
  <c r="H201" i="2"/>
  <c r="B31" i="10"/>
  <c r="C35" i="10"/>
  <c r="N227" i="2"/>
  <c r="M227" i="2"/>
  <c r="D35" i="10"/>
  <c r="B29" i="10"/>
  <c r="E215" i="2"/>
  <c r="G227" i="2"/>
  <c r="F227" i="2"/>
  <c r="C23" i="10"/>
  <c r="C24" i="10" s="1"/>
  <c r="N20" i="5" l="1"/>
  <c r="AC20" i="5"/>
  <c r="B35" i="10"/>
  <c r="D36" i="10"/>
  <c r="D37" i="10" s="1"/>
  <c r="F215" i="2"/>
  <c r="G215" i="2"/>
</calcChain>
</file>

<file path=xl/sharedStrings.xml><?xml version="1.0" encoding="utf-8"?>
<sst xmlns="http://schemas.openxmlformats.org/spreadsheetml/2006/main" count="793" uniqueCount="315">
  <si>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</si>
  <si>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</si>
  <si>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</si>
  <si>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</si>
  <si>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</si>
  <si>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</si>
  <si>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</si>
  <si>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</si>
  <si>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</si>
  <si>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</si>
  <si>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</si>
  <si>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</si>
  <si>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</si>
  <si>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</si>
  <si>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</si>
  <si>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</si>
  <si>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</si>
  <si>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</si>
  <si>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</si>
  <si>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</si>
  <si>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</si>
  <si>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</si>
  <si>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</si>
  <si>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</si>
  <si>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</si>
  <si>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</si>
  <si>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</si>
  <si>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</si>
  <si>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</si>
  <si>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</si>
  <si>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</si>
  <si>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</si>
  <si>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</si>
  <si>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</si>
  <si>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</si>
  <si>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</si>
  <si>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</si>
  <si>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</si>
  <si>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</si>
  <si>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</si>
  <si>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</si>
  <si>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</si>
  <si>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</si>
  <si>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</si>
  <si>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</si>
  <si>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</si>
  <si>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</si>
  <si>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</si>
  <si>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</si>
  <si>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</si>
  <si>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</si>
  <si>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</si>
  <si>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</si>
  <si>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</si>
  <si>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</si>
  <si>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</si>
  <si>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</si>
  <si>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</si>
  <si>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</si>
  <si>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</si>
  <si>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</si>
  <si>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</si>
  <si>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</si>
  <si>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</si>
  <si>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</si>
  <si>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</si>
  <si>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</si>
  <si>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</si>
  <si>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</si>
  <si>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</si>
  <si>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</si>
  <si>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</si>
  <si>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</si>
  <si>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</si>
  <si>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</si>
  <si>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</si>
  <si>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</si>
  <si>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</si>
  <si>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</si>
  <si>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</si>
  <si>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</si>
  <si>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</si>
  <si>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</si>
  <si>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</si>
  <si>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</si>
  <si>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</si>
  <si>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</si>
  <si>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</si>
  <si>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</si>
  <si>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</si>
  <si>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</si>
  <si>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</si>
  <si>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</si>
  <si>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</si>
  <si>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</si>
  <si>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</si>
  <si>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</si>
  <si>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</si>
  <si>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</si>
  <si>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</si>
  <si>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</si>
  <si>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</si>
  <si>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</si>
  <si>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</si>
  <si>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</si>
  <si>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</si>
  <si>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</si>
  <si>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</si>
  <si>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</si>
  <si>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</si>
  <si>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</si>
  <si>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</si>
  <si>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</si>
  <si>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</si>
  <si>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</si>
  <si>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</si>
  <si>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</si>
  <si>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</si>
  <si>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</si>
  <si>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</si>
  <si>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</si>
  <si>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</si>
  <si>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</si>
  <si>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</si>
  <si>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</si>
  <si>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</si>
  <si>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</si>
  <si>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</si>
  <si>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</si>
  <si>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</si>
  <si>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</si>
  <si>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</si>
  <si>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</si>
  <si>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</si>
  <si>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</si>
  <si>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</si>
  <si>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</si>
  <si>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</si>
  <si>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</si>
  <si>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</si>
  <si>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</si>
  <si>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</si>
  <si>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</si>
  <si>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</si>
  <si>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</si>
  <si>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</si>
  <si>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</si>
  <si>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</si>
  <si>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</si>
  <si>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</si>
  <si>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</si>
  <si>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</si>
  <si>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</si>
  <si>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</si>
  <si>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</si>
  <si>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</si>
  <si>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</si>
  <si>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</si>
  <si>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</si>
  <si>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</si>
  <si>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</si>
  <si>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</si>
  <si>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</si>
  <si>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</si>
  <si>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</si>
  <si>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</si>
  <si>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</si>
  <si>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</si>
  <si>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</si>
  <si>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</si>
  <si>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</si>
  <si>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</si>
  <si>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</si>
  <si>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</si>
  <si>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</si>
  <si>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</si>
  <si>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</si>
  <si>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</si>
  <si>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</si>
  <si>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</si>
  <si>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</si>
  <si>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</si>
  <si>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</si>
  <si>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</si>
  <si>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</si>
  <si>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</si>
  <si>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</si>
  <si>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</si>
  <si>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</si>
  <si>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</si>
  <si>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</si>
  <si>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</si>
  <si>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</si>
  <si>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</si>
  <si>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</si>
  <si>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</si>
  <si>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</si>
  <si>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</si>
  <si>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</si>
  <si>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</si>
  <si>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</si>
  <si>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</si>
  <si>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</si>
  <si>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</si>
  <si>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</si>
  <si>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</si>
  <si>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</si>
  <si>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</si>
  <si>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</si>
  <si>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</si>
  <si>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</si>
  <si>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</si>
  <si>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</si>
  <si>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</si>
  <si>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</si>
  <si>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</si>
  <si>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</si>
  <si>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># of Organized Households</t>
  </si>
  <si>
    <t xml:space="preserve">Grand Total </t>
  </si>
  <si>
    <t># of Traditional Birth Attendants / Health workers Trained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</si>
  <si>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</si>
  <si>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</si>
  <si>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</si>
  <si>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</si>
  <si>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</si>
  <si>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</si>
  <si>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</si>
  <si>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</si>
  <si>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</si>
  <si>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</si>
  <si>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</si>
  <si>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</si>
  <si>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</si>
  <si>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</si>
  <si>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</si>
  <si>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</si>
  <si>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</si>
  <si>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</si>
  <si>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</si>
  <si>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</si>
  <si>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</si>
  <si>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</si>
  <si>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</si>
  <si>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</si>
  <si>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</si>
  <si>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</si>
  <si>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</si>
  <si>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</si>
  <si>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</si>
  <si>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</si>
  <si>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</si>
  <si>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</si>
  <si>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</si>
  <si>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</si>
  <si>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</si>
  <si>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</si>
  <si>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</si>
  <si>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</si>
  <si>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</si>
  <si>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</si>
  <si>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</si>
  <si>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</si>
  <si>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</si>
  <si>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</si>
  <si>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</si>
  <si>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 xml:space="preserve"># of population insured </t>
  </si>
  <si>
    <t>Union Councils Having RSPs Presence</t>
  </si>
  <si>
    <t>Households Organised</t>
  </si>
  <si>
    <t>Community Orgnisations Formed</t>
  </si>
  <si>
    <t xml:space="preserve">* The total figure for distircts/areas and union councils excludes 24 overlapping districts (presence of multiple RSP) and 534 overlapping union councils </t>
  </si>
  <si>
    <t>\</t>
  </si>
  <si>
    <t>Households organised</t>
  </si>
  <si>
    <t>% of households organised</t>
  </si>
  <si>
    <t># as at June 2013</t>
  </si>
  <si>
    <t>% coverage as at June 2013</t>
  </si>
  <si>
    <t>Mandi Bahauddin (Overlapping)</t>
  </si>
  <si>
    <t>New Added in June 2013</t>
  </si>
  <si>
    <t>Number of Revenue Villages Having RSPs Presense (as at June 2013)</t>
  </si>
  <si>
    <r>
      <t xml:space="preserve">Rural Support Programmes (RSPs) in Pakistan, District-wise RSPs Coverage/Outreach as at September </t>
    </r>
    <r>
      <rPr>
        <b/>
        <sz val="10"/>
        <color indexed="10"/>
        <rFont val="Calibri"/>
        <family val="2"/>
      </rPr>
      <t>2013</t>
    </r>
  </si>
  <si>
    <t># as at September 2013</t>
  </si>
  <si>
    <t>Number of Revenue Villages Having RSPs Presense (as at September 2013)</t>
  </si>
  <si>
    <r>
      <t>Rural Support Programmes (RSPs) in Pakistan, Cumulative Progress as at September</t>
    </r>
    <r>
      <rPr>
        <b/>
        <sz val="10"/>
        <color indexed="10"/>
        <rFont val="Calibri"/>
        <family val="2"/>
      </rPr>
      <t xml:space="preserve"> 2013</t>
    </r>
  </si>
  <si>
    <t xml:space="preserve">Rural Support Programmes in Pakistan </t>
  </si>
  <si>
    <t>Cummulative Acheviment</t>
  </si>
  <si>
    <t># of RSP working districts</t>
  </si>
  <si>
    <t># of Union Councils with RSP presence</t>
  </si>
  <si>
    <t xml:space="preserve"># of Organized Households </t>
  </si>
  <si>
    <t># of Local Support Organization (LSO)</t>
  </si>
  <si>
    <t>Amount of savings of COs (Rs. Million)</t>
  </si>
  <si>
    <t># of LSO Managing CIF</t>
  </si>
  <si>
    <t>Total amount of CIF disbursed (Rs. million)</t>
  </si>
  <si>
    <t># of Loans</t>
  </si>
  <si>
    <t>Women</t>
  </si>
  <si>
    <t>Men</t>
  </si>
  <si>
    <t>4,24,981</t>
  </si>
  <si>
    <t xml:space="preserve"># of Health micro-insurance Scheme </t>
  </si>
  <si>
    <t xml:space="preserve"># of PPI/CPI Schemes </t>
  </si>
  <si>
    <t xml:space="preserve"># of beneficiary households of CPIs </t>
  </si>
  <si>
    <t xml:space="preserve">Total Cost of CPIs (Rs. Million) </t>
  </si>
  <si>
    <t># ofTraditional Birth Attendants / Health workers Trained</t>
  </si>
  <si>
    <t>1982-1992</t>
  </si>
  <si>
    <t>Up to 2002</t>
  </si>
  <si>
    <t>Up to 2012</t>
  </si>
  <si>
    <t># of Local Support Organizations</t>
  </si>
  <si>
    <t>Amount of savings of COs ($. Million)</t>
  </si>
  <si>
    <t>Total amount of CIF disbursed ($. million)</t>
  </si>
  <si>
    <t>Amount of micro-credit disbursement ($. Million)</t>
  </si>
  <si>
    <t xml:space="preserve">Total Cost of CPIs ($. Million) </t>
  </si>
  <si>
    <t>Year</t>
  </si>
  <si>
    <t>Average USD/PKR</t>
  </si>
  <si>
    <t>Min USD/PKR</t>
  </si>
  <si>
    <t>Max USD/PKR</t>
  </si>
  <si>
    <t>Nb of working days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</si>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</sst>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72">
    <xf numFmtId="0" fontId="0" fillId="0" borderId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4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6">
    <xf numFmtId="0" fontId="0" fillId="0" borderId="0" xfId="0"/>
    <xf numFmtId="0" fontId="25" fillId="0" borderId="0" xfId="0" applyFont="1" applyFill="1"/>
    <xf numFmtId="165" fontId="26" fillId="0" borderId="0" xfId="508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5" fontId="25" fillId="0" borderId="0" xfId="508" applyNumberFormat="1" applyFont="1" applyFill="1" applyAlignment="1">
      <alignment horizontal="center"/>
    </xf>
    <xf numFmtId="0" fontId="26" fillId="0" borderId="0" xfId="0" applyFont="1" applyFill="1"/>
    <xf numFmtId="0" fontId="25" fillId="24" borderId="0" xfId="0" applyFont="1" applyFill="1"/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65" fontId="25" fillId="0" borderId="0" xfId="0" applyNumberFormat="1" applyFont="1" applyFill="1" applyAlignment="1">
      <alignment horizontal="center"/>
    </xf>
    <xf numFmtId="166" fontId="25" fillId="0" borderId="0" xfId="508" applyNumberFormat="1" applyFont="1" applyFill="1"/>
    <xf numFmtId="43" fontId="25" fillId="0" borderId="0" xfId="0" applyNumberFormat="1" applyFont="1" applyFill="1"/>
    <xf numFmtId="165" fontId="25" fillId="0" borderId="0" xfId="508" applyNumberFormat="1" applyFont="1" applyFill="1"/>
    <xf numFmtId="165" fontId="27" fillId="0" borderId="0" xfId="508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165" fontId="28" fillId="0" borderId="0" xfId="508" applyNumberFormat="1" applyFont="1" applyFill="1" applyAlignment="1">
      <alignment horizontal="center"/>
    </xf>
    <xf numFmtId="166" fontId="28" fillId="0" borderId="0" xfId="508" applyNumberFormat="1" applyFont="1" applyFill="1" applyAlignment="1">
      <alignment horizontal="center"/>
    </xf>
    <xf numFmtId="165" fontId="27" fillId="24" borderId="10" xfId="508" applyNumberFormat="1" applyFont="1" applyFill="1" applyBorder="1" applyAlignment="1">
      <alignment horizontal="left" vertical="center"/>
    </xf>
    <xf numFmtId="0" fontId="27" fillId="24" borderId="11" xfId="0" applyFont="1" applyFill="1" applyBorder="1" applyAlignment="1">
      <alignment vertical="center"/>
    </xf>
    <xf numFmtId="165" fontId="27" fillId="24" borderId="11" xfId="508" applyNumberFormat="1" applyFont="1" applyFill="1" applyBorder="1" applyAlignment="1">
      <alignment horizontal="center" vertical="center"/>
    </xf>
    <xf numFmtId="166" fontId="27" fillId="24" borderId="11" xfId="508" applyNumberFormat="1" applyFont="1" applyFill="1" applyBorder="1" applyAlignment="1">
      <alignment horizontal="center" vertical="center"/>
    </xf>
    <xf numFmtId="165" fontId="27" fillId="24" borderId="12" xfId="508" applyNumberFormat="1" applyFont="1" applyFill="1" applyBorder="1" applyAlignment="1">
      <alignment horizontal="center" vertical="center"/>
    </xf>
    <xf numFmtId="165" fontId="28" fillId="0" borderId="13" xfId="508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165" fontId="28" fillId="0" borderId="14" xfId="508" applyNumberFormat="1" applyFont="1" applyFill="1" applyBorder="1" applyAlignment="1">
      <alignment horizontal="center" vertical="center"/>
    </xf>
    <xf numFmtId="165" fontId="28" fillId="0" borderId="15" xfId="508" applyNumberFormat="1" applyFont="1" applyFill="1" applyBorder="1" applyAlignment="1">
      <alignment horizontal="center" vertical="center"/>
    </xf>
    <xf numFmtId="10" fontId="28" fillId="0" borderId="16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165" fontId="28" fillId="24" borderId="11" xfId="508" applyNumberFormat="1" applyFont="1" applyFill="1" applyBorder="1" applyAlignment="1">
      <alignment horizontal="center" vertical="center"/>
    </xf>
    <xf numFmtId="165" fontId="28" fillId="0" borderId="17" xfId="508" applyNumberFormat="1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left" vertical="center"/>
    </xf>
    <xf numFmtId="165" fontId="28" fillId="25" borderId="14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5" fontId="28" fillId="0" borderId="18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0" fontId="27" fillId="0" borderId="25" xfId="508" applyNumberFormat="1" applyFont="1" applyFill="1" applyBorder="1" applyAlignment="1">
      <alignment horizontal="center" vertical="center"/>
    </xf>
    <xf numFmtId="0" fontId="28" fillId="0" borderId="14" xfId="0" applyFont="1" applyBorder="1"/>
    <xf numFmtId="0" fontId="27" fillId="0" borderId="0" xfId="0" applyFont="1" applyFill="1" applyBorder="1" applyAlignment="1">
      <alignment horizontal="center" vertical="center"/>
    </xf>
    <xf numFmtId="10" fontId="27" fillId="0" borderId="0" xfId="508" applyNumberFormat="1" applyFont="1" applyFill="1" applyBorder="1" applyAlignment="1">
      <alignment horizontal="center" vertical="center"/>
    </xf>
    <xf numFmtId="165" fontId="27" fillId="0" borderId="26" xfId="508" applyNumberFormat="1" applyFont="1" applyFill="1" applyBorder="1"/>
    <xf numFmtId="0" fontId="27" fillId="0" borderId="27" xfId="0" applyFont="1" applyFill="1" applyBorder="1"/>
    <xf numFmtId="165" fontId="27" fillId="0" borderId="28" xfId="508" applyNumberFormat="1" applyFont="1" applyFill="1" applyBorder="1" applyAlignment="1">
      <alignment horizontal="center" vertical="center"/>
    </xf>
    <xf numFmtId="165" fontId="27" fillId="0" borderId="29" xfId="508" applyNumberFormat="1" applyFont="1" applyFill="1" applyBorder="1" applyAlignment="1">
      <alignment horizontal="center" vertical="center"/>
    </xf>
    <xf numFmtId="165" fontId="27" fillId="0" borderId="30" xfId="508" applyNumberFormat="1" applyFont="1" applyFill="1" applyBorder="1" applyAlignment="1">
      <alignment horizontal="center" vertical="center"/>
    </xf>
    <xf numFmtId="165" fontId="27" fillId="0" borderId="31" xfId="508" applyNumberFormat="1" applyFont="1" applyFill="1" applyBorder="1" applyAlignment="1">
      <alignment horizontal="center" vertical="center"/>
    </xf>
    <xf numFmtId="165" fontId="27" fillId="0" borderId="27" xfId="508" applyNumberFormat="1" applyFont="1" applyFill="1" applyBorder="1" applyAlignment="1">
      <alignment horizontal="center" vertical="center"/>
    </xf>
    <xf numFmtId="165" fontId="28" fillId="0" borderId="14" xfId="508" applyNumberFormat="1" applyFont="1" applyFill="1" applyBorder="1" applyAlignment="1">
      <alignment vertical="center"/>
    </xf>
    <xf numFmtId="165" fontId="28" fillId="0" borderId="0" xfId="508" applyNumberFormat="1" applyFont="1" applyFill="1" applyAlignment="1">
      <alignment horizontal="center" vertical="center"/>
    </xf>
    <xf numFmtId="164" fontId="29" fillId="0" borderId="0" xfId="508" applyNumberFormat="1" applyFont="1" applyFill="1" applyBorder="1"/>
    <xf numFmtId="0" fontId="29" fillId="0" borderId="0" xfId="0" applyFont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4" fontId="29" fillId="0" borderId="0" xfId="508" applyNumberFormat="1" applyFont="1"/>
    <xf numFmtId="164" fontId="29" fillId="0" borderId="14" xfId="508" applyNumberFormat="1" applyFont="1" applyBorder="1" applyAlignment="1">
      <alignment horizontal="center" wrapText="1"/>
    </xf>
    <xf numFmtId="164" fontId="29" fillId="0" borderId="14" xfId="508" applyNumberFormat="1" applyFont="1" applyFill="1" applyBorder="1" applyAlignment="1">
      <alignment horizontal="center" wrapText="1"/>
    </xf>
    <xf numFmtId="164" fontId="30" fillId="24" borderId="14" xfId="508" applyNumberFormat="1" applyFont="1" applyFill="1" applyBorder="1" applyAlignment="1">
      <alignment horizontal="center" wrapText="1"/>
    </xf>
    <xf numFmtId="43" fontId="29" fillId="0" borderId="0" xfId="508" applyFont="1"/>
    <xf numFmtId="165" fontId="29" fillId="0" borderId="0" xfId="508" applyNumberFormat="1" applyFont="1"/>
    <xf numFmtId="38" fontId="29" fillId="0" borderId="0" xfId="0" applyNumberFormat="1" applyFont="1"/>
    <xf numFmtId="38" fontId="29" fillId="0" borderId="0" xfId="508" applyNumberFormat="1" applyFont="1"/>
    <xf numFmtId="40" fontId="29" fillId="0" borderId="0" xfId="508" applyNumberFormat="1" applyFont="1"/>
    <xf numFmtId="0" fontId="29" fillId="0" borderId="0" xfId="0" applyFont="1" applyAlignment="1">
      <alignment vertical="center"/>
    </xf>
    <xf numFmtId="164" fontId="30" fillId="24" borderId="32" xfId="508" applyNumberFormat="1" applyFont="1" applyFill="1" applyBorder="1" applyAlignment="1">
      <alignment horizontal="center" wrapText="1"/>
    </xf>
    <xf numFmtId="0" fontId="29" fillId="0" borderId="0" xfId="0" applyFont="1" applyBorder="1"/>
    <xf numFmtId="164" fontId="29" fillId="0" borderId="0" xfId="0" applyNumberFormat="1" applyFont="1"/>
    <xf numFmtId="0" fontId="29" fillId="0" borderId="0" xfId="0" applyFont="1" applyAlignment="1">
      <alignment vertical="top"/>
    </xf>
    <xf numFmtId="165" fontId="29" fillId="0" borderId="14" xfId="508" applyNumberFormat="1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/>
    </xf>
    <xf numFmtId="165" fontId="28" fillId="0" borderId="16" xfId="508" applyNumberFormat="1" applyFont="1" applyFill="1" applyBorder="1" applyAlignment="1">
      <alignment horizontal="left" vertical="center"/>
    </xf>
    <xf numFmtId="165" fontId="28" fillId="0" borderId="16" xfId="508" applyNumberFormat="1" applyFont="1" applyFill="1" applyBorder="1" applyAlignment="1">
      <alignment horizontal="center" vertical="center"/>
    </xf>
    <xf numFmtId="9" fontId="27" fillId="0" borderId="0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Alignment="1">
      <alignment horizontal="left"/>
    </xf>
    <xf numFmtId="165" fontId="28" fillId="0" borderId="0" xfId="508" applyNumberFormat="1" applyFont="1" applyFill="1" applyAlignment="1">
      <alignment horizontal="left"/>
    </xf>
    <xf numFmtId="165" fontId="28" fillId="0" borderId="33" xfId="508" applyNumberFormat="1" applyFont="1" applyFill="1" applyBorder="1" applyAlignment="1">
      <alignment horizontal="left" vertical="center" wrapText="1"/>
    </xf>
    <xf numFmtId="164" fontId="29" fillId="0" borderId="0" xfId="508" applyNumberFormat="1" applyFont="1" applyFill="1"/>
    <xf numFmtId="43" fontId="29" fillId="0" borderId="0" xfId="508" applyFont="1" applyFill="1"/>
    <xf numFmtId="43" fontId="25" fillId="0" borderId="0" xfId="0" applyNumberFormat="1" applyFont="1" applyFill="1" applyAlignment="1">
      <alignment vertical="center"/>
    </xf>
    <xf numFmtId="9" fontId="27" fillId="24" borderId="32" xfId="508" applyNumberFormat="1" applyFont="1" applyFill="1" applyBorder="1" applyAlignment="1">
      <alignment horizontal="center" vertical="center" wrapText="1"/>
    </xf>
    <xf numFmtId="165" fontId="28" fillId="0" borderId="22" xfId="508" applyNumberFormat="1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/>
    </xf>
    <xf numFmtId="0" fontId="28" fillId="0" borderId="24" xfId="0" applyFont="1" applyFill="1" applyBorder="1"/>
    <xf numFmtId="0" fontId="28" fillId="0" borderId="25" xfId="0" applyFont="1" applyFill="1" applyBorder="1" applyAlignment="1">
      <alignment horizontal="center"/>
    </xf>
    <xf numFmtId="0" fontId="28" fillId="0" borderId="13" xfId="0" applyFont="1" applyFill="1" applyBorder="1" applyAlignment="1">
      <alignment vertical="center"/>
    </xf>
    <xf numFmtId="165" fontId="28" fillId="0" borderId="16" xfId="508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28" fillId="0" borderId="28" xfId="0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8" fillId="0" borderId="15" xfId="508" applyNumberFormat="1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center" vertical="center"/>
    </xf>
    <xf numFmtId="0" fontId="29" fillId="0" borderId="0" xfId="0" applyFont="1" applyFill="1"/>
    <xf numFmtId="165" fontId="29" fillId="24" borderId="14" xfId="508" applyNumberFormat="1" applyFont="1" applyFill="1" applyBorder="1" applyAlignment="1">
      <alignment horizontal="center" vertical="center" wrapText="1"/>
    </xf>
    <xf numFmtId="167" fontId="28" fillId="0" borderId="1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8" fillId="24" borderId="11" xfId="508" applyNumberFormat="1" applyFont="1" applyFill="1" applyBorder="1" applyAlignment="1">
      <alignment horizontal="center" vertical="center"/>
    </xf>
    <xf numFmtId="167" fontId="28" fillId="0" borderId="2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8" fillId="0" borderId="28" xfId="508" applyNumberFormat="1" applyFont="1" applyFill="1" applyBorder="1" applyAlignment="1">
      <alignment horizontal="center" vertical="center"/>
    </xf>
    <xf numFmtId="43" fontId="29" fillId="0" borderId="14" xfId="508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167" fontId="29" fillId="0" borderId="14" xfId="508" applyNumberFormat="1" applyFont="1" applyFill="1" applyBorder="1" applyAlignment="1">
      <alignment horizontal="center" vertical="center" wrapText="1"/>
    </xf>
    <xf numFmtId="164" fontId="29" fillId="0" borderId="14" xfId="508" applyNumberFormat="1" applyFont="1" applyBorder="1" applyAlignment="1">
      <alignment horizontal="center" vertical="center" wrapText="1"/>
    </xf>
    <xf numFmtId="164" fontId="29" fillId="0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/>
    </xf>
    <xf numFmtId="43" fontId="29" fillId="0" borderId="14" xfId="508" applyFont="1" applyBorder="1" applyAlignment="1">
      <alignment horizontal="center" vertical="center" wrapText="1"/>
    </xf>
    <xf numFmtId="43" fontId="30" fillId="24" borderId="14" xfId="508" applyFont="1" applyFill="1" applyBorder="1" applyAlignment="1">
      <alignment horizontal="center" vertical="center" wrapText="1"/>
    </xf>
    <xf numFmtId="167" fontId="29" fillId="0" borderId="0" xfId="508" applyNumberFormat="1" applyFont="1" applyFill="1"/>
    <xf numFmtId="167" fontId="29" fillId="0" borderId="0" xfId="508" applyNumberFormat="1" applyFont="1"/>
    <xf numFmtId="165" fontId="29" fillId="0" borderId="0" xfId="0" applyNumberFormat="1" applyFont="1"/>
    <xf numFmtId="165" fontId="27" fillId="0" borderId="0" xfId="508" applyNumberFormat="1" applyFont="1" applyFill="1" applyBorder="1" applyAlignment="1">
      <alignment horizontal="left" vertical="center"/>
    </xf>
    <xf numFmtId="0" fontId="27" fillId="0" borderId="0" xfId="0" applyFont="1" applyBorder="1"/>
    <xf numFmtId="0" fontId="0" fillId="0" borderId="14" xfId="0" applyBorder="1"/>
    <xf numFmtId="0" fontId="28" fillId="0" borderId="34" xfId="0" applyFont="1" applyFill="1" applyBorder="1" applyAlignment="1">
      <alignment horizontal="left" vertical="center"/>
    </xf>
    <xf numFmtId="43" fontId="0" fillId="0" borderId="0" xfId="508" applyFont="1"/>
    <xf numFmtId="165" fontId="27" fillId="0" borderId="35" xfId="508" applyNumberFormat="1" applyFont="1" applyFill="1" applyBorder="1" applyAlignment="1">
      <alignment vertical="center" wrapText="1"/>
    </xf>
    <xf numFmtId="165" fontId="27" fillId="0" borderId="34" xfId="508" applyNumberFormat="1" applyFont="1" applyFill="1" applyBorder="1" applyAlignment="1">
      <alignment vertical="center" wrapText="1"/>
    </xf>
    <xf numFmtId="165" fontId="28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7" fillId="0" borderId="14" xfId="0" applyFont="1" applyFill="1" applyBorder="1" applyAlignment="1">
      <alignment horizontal="left" vertical="center"/>
    </xf>
    <xf numFmtId="165" fontId="29" fillId="0" borderId="0" xfId="508" applyNumberFormat="1" applyFont="1" applyFill="1" applyBorder="1" applyAlignment="1">
      <alignment horizontal="center" vertical="center" wrapText="1"/>
    </xf>
    <xf numFmtId="0" fontId="25" fillId="26" borderId="0" xfId="0" applyFont="1" applyFill="1" applyAlignment="1">
      <alignment vertical="center"/>
    </xf>
    <xf numFmtId="165" fontId="29" fillId="25" borderId="14" xfId="508" applyNumberFormat="1" applyFont="1" applyFill="1" applyBorder="1" applyAlignment="1">
      <alignment horizontal="center" vertical="center" wrapText="1"/>
    </xf>
    <xf numFmtId="165" fontId="27" fillId="0" borderId="36" xfId="508" applyNumberFormat="1" applyFont="1" applyFill="1" applyBorder="1" applyAlignment="1">
      <alignment horizontal="center" vertical="center"/>
    </xf>
    <xf numFmtId="9" fontId="31" fillId="24" borderId="32" xfId="508" applyNumberFormat="1" applyFont="1" applyFill="1" applyBorder="1" applyAlignment="1">
      <alignment horizontal="center" vertical="center" wrapText="1"/>
    </xf>
    <xf numFmtId="167" fontId="28" fillId="0" borderId="19" xfId="508" applyNumberFormat="1" applyFont="1" applyFill="1" applyBorder="1" applyAlignment="1">
      <alignment horizontal="center" vertical="center"/>
    </xf>
    <xf numFmtId="167" fontId="28" fillId="0" borderId="17" xfId="508" applyNumberFormat="1" applyFont="1" applyFill="1" applyBorder="1" applyAlignment="1">
      <alignment horizontal="center" vertical="center"/>
    </xf>
    <xf numFmtId="167" fontId="28" fillId="0" borderId="29" xfId="508" applyNumberFormat="1" applyFont="1" applyFill="1" applyBorder="1" applyAlignment="1">
      <alignment horizontal="center" vertical="center"/>
    </xf>
    <xf numFmtId="37" fontId="25" fillId="0" borderId="0" xfId="508" applyNumberFormat="1" applyFont="1" applyFill="1" applyAlignment="1">
      <alignment horizontal="right"/>
    </xf>
    <xf numFmtId="164" fontId="29" fillId="0" borderId="14" xfId="508" applyNumberFormat="1" applyFont="1" applyBorder="1"/>
    <xf numFmtId="0" fontId="27" fillId="0" borderId="27" xfId="0" applyFont="1" applyFill="1" applyBorder="1" applyAlignment="1">
      <alignment horizontal="left" vertical="center"/>
    </xf>
    <xf numFmtId="9" fontId="27" fillId="0" borderId="36" xfId="508" applyNumberFormat="1" applyFont="1" applyFill="1" applyBorder="1" applyAlignment="1">
      <alignment horizontal="center" vertical="center"/>
    </xf>
    <xf numFmtId="165" fontId="27" fillId="0" borderId="37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left" vertical="center"/>
    </xf>
    <xf numFmtId="165" fontId="28" fillId="0" borderId="22" xfId="508" applyNumberFormat="1" applyFont="1" applyFill="1" applyBorder="1" applyAlignment="1">
      <alignment vertical="center"/>
    </xf>
    <xf numFmtId="165" fontId="28" fillId="0" borderId="21" xfId="508" applyNumberFormat="1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167" fontId="28" fillId="0" borderId="38" xfId="508" applyNumberFormat="1" applyFont="1" applyFill="1" applyBorder="1" applyAlignment="1">
      <alignment horizontal="center" vertical="center"/>
    </xf>
    <xf numFmtId="167" fontId="28" fillId="0" borderId="20" xfId="508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165" fontId="27" fillId="0" borderId="26" xfId="508" applyNumberFormat="1" applyFont="1" applyFill="1" applyBorder="1" applyAlignment="1">
      <alignment horizontal="center" vertical="center"/>
    </xf>
    <xf numFmtId="167" fontId="27" fillId="0" borderId="27" xfId="508" applyNumberFormat="1" applyFont="1" applyFill="1" applyBorder="1" applyAlignment="1">
      <alignment horizontal="center" vertical="center"/>
    </xf>
    <xf numFmtId="165" fontId="27" fillId="0" borderId="39" xfId="508" applyNumberFormat="1" applyFont="1" applyFill="1" applyBorder="1" applyAlignment="1">
      <alignment horizontal="center" vertical="center"/>
    </xf>
    <xf numFmtId="10" fontId="27" fillId="0" borderId="36" xfId="508" applyNumberFormat="1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10" fontId="28" fillId="0" borderId="22" xfId="508" applyNumberFormat="1" applyFont="1" applyFill="1" applyBorder="1" applyAlignment="1">
      <alignment horizontal="center" vertical="center"/>
    </xf>
    <xf numFmtId="165" fontId="32" fillId="0" borderId="14" xfId="508" applyNumberFormat="1" applyFont="1" applyFill="1" applyBorder="1" applyAlignment="1">
      <alignment horizontal="center" vertical="center" wrapText="1"/>
    </xf>
    <xf numFmtId="43" fontId="25" fillId="0" borderId="0" xfId="508" applyFont="1" applyFill="1" applyAlignment="1">
      <alignment horizontal="center"/>
    </xf>
    <xf numFmtId="165" fontId="25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4" borderId="14" xfId="508" applyNumberFormat="1" applyFont="1" applyFill="1" applyBorder="1" applyAlignment="1">
      <alignment horizontal="center" vertical="center" wrapText="1"/>
    </xf>
    <xf numFmtId="0" fontId="30" fillId="28" borderId="28" xfId="0" applyFont="1" applyFill="1" applyBorder="1" applyAlignment="1">
      <alignment horizontal="center" vertical="center"/>
    </xf>
    <xf numFmtId="0" fontId="29" fillId="27" borderId="0" xfId="0" applyFont="1" applyFill="1"/>
    <xf numFmtId="0" fontId="30" fillId="0" borderId="28" xfId="0" applyFont="1" applyFill="1" applyBorder="1" applyAlignment="1">
      <alignment horizontal="center" vertical="center"/>
    </xf>
    <xf numFmtId="164" fontId="29" fillId="0" borderId="0" xfId="0" applyNumberFormat="1" applyFont="1" applyFill="1"/>
    <xf numFmtId="164" fontId="29" fillId="0" borderId="14" xfId="508" applyNumberFormat="1" applyFont="1" applyFill="1" applyBorder="1"/>
    <xf numFmtId="165" fontId="7" fillId="0" borderId="14" xfId="508" applyNumberFormat="1" applyFont="1" applyFill="1" applyBorder="1" applyAlignment="1">
      <alignment vertical="center"/>
    </xf>
    <xf numFmtId="165" fontId="7" fillId="0" borderId="14" xfId="508" applyNumberFormat="1" applyFont="1" applyFill="1" applyBorder="1" applyAlignment="1">
      <alignment horizontal="center" vertical="center"/>
    </xf>
    <xf numFmtId="165" fontId="35" fillId="0" borderId="14" xfId="508" applyNumberFormat="1" applyFont="1" applyBorder="1"/>
    <xf numFmtId="43" fontId="29" fillId="24" borderId="14" xfId="508" applyNumberFormat="1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5" fontId="28" fillId="0" borderId="14" xfId="508" applyNumberFormat="1" applyFont="1" applyFill="1" applyBorder="1" applyAlignment="1">
      <alignment horizontal="center" vertical="center" wrapText="1"/>
    </xf>
    <xf numFmtId="167" fontId="28" fillId="29" borderId="14" xfId="508" applyNumberFormat="1" applyFont="1" applyFill="1" applyBorder="1" applyAlignment="1">
      <alignment horizontal="center" vertical="center"/>
    </xf>
    <xf numFmtId="165" fontId="28" fillId="28" borderId="14" xfId="508" applyNumberFormat="1" applyFont="1" applyFill="1" applyBorder="1" applyAlignment="1">
      <alignment horizontal="center" vertical="center" wrapText="1"/>
    </xf>
    <xf numFmtId="164" fontId="28" fillId="28" borderId="0" xfId="508" applyNumberFormat="1" applyFont="1" applyFill="1"/>
    <xf numFmtId="0" fontId="37" fillId="0" borderId="0" xfId="669" applyFont="1" applyBorder="1"/>
    <xf numFmtId="0" fontId="7" fillId="0" borderId="0" xfId="669"/>
    <xf numFmtId="0" fontId="1" fillId="0" borderId="0" xfId="868"/>
    <xf numFmtId="17" fontId="26" fillId="30" borderId="14" xfId="669" applyNumberFormat="1" applyFont="1" applyFill="1" applyBorder="1" applyAlignment="1">
      <alignment horizontal="center" vertical="center"/>
    </xf>
    <xf numFmtId="164" fontId="25" fillId="0" borderId="15" xfId="869" applyNumberFormat="1" applyFont="1" applyFill="1" applyBorder="1" applyAlignment="1">
      <alignment horizontal="left" vertical="top"/>
    </xf>
    <xf numFmtId="164" fontId="25" fillId="0" borderId="17" xfId="869" applyNumberFormat="1" applyFont="1" applyFill="1" applyBorder="1" applyAlignment="1"/>
    <xf numFmtId="164" fontId="7" fillId="0" borderId="14" xfId="869" applyNumberFormat="1" applyFont="1" applyBorder="1"/>
    <xf numFmtId="165" fontId="29" fillId="0" borderId="14" xfId="870" applyNumberFormat="1" applyFont="1" applyFill="1" applyBorder="1" applyAlignment="1">
      <alignment horizontal="center" vertical="center" wrapText="1"/>
    </xf>
    <xf numFmtId="164" fontId="25" fillId="0" borderId="15" xfId="869" applyNumberFormat="1" applyFont="1" applyFill="1" applyBorder="1" applyAlignment="1"/>
    <xf numFmtId="164" fontId="25" fillId="0" borderId="14" xfId="869" applyNumberFormat="1" applyFont="1" applyFill="1" applyBorder="1" applyAlignment="1">
      <alignment horizontal="left"/>
    </xf>
    <xf numFmtId="164" fontId="25" fillId="0" borderId="14" xfId="869" applyNumberFormat="1" applyFont="1" applyFill="1" applyBorder="1" applyAlignment="1">
      <alignment horizontal="center"/>
    </xf>
    <xf numFmtId="164" fontId="7" fillId="0" borderId="14" xfId="869" applyNumberFormat="1" applyFont="1" applyBorder="1" applyAlignment="1">
      <alignment horizontal="right" vertical="center"/>
    </xf>
    <xf numFmtId="164" fontId="25" fillId="0" borderId="14" xfId="869" applyNumberFormat="1" applyFont="1" applyBorder="1" applyAlignment="1">
      <alignment horizontal="center" wrapText="1"/>
    </xf>
    <xf numFmtId="164" fontId="25" fillId="0" borderId="14" xfId="869" applyNumberFormat="1" applyFont="1" applyFill="1" applyBorder="1" applyAlignment="1">
      <alignment horizontal="center" wrapText="1"/>
    </xf>
    <xf numFmtId="164" fontId="26" fillId="30" borderId="14" xfId="869" applyNumberFormat="1" applyFont="1" applyFill="1" applyBorder="1" applyAlignment="1">
      <alignment horizontal="center" wrapText="1"/>
    </xf>
    <xf numFmtId="164" fontId="38" fillId="30" borderId="14" xfId="869" applyNumberFormat="1" applyFont="1" applyFill="1" applyBorder="1"/>
    <xf numFmtId="165" fontId="29" fillId="24" borderId="14" xfId="870" applyNumberFormat="1" applyFont="1" applyFill="1" applyBorder="1" applyAlignment="1">
      <alignment horizontal="center" vertical="center" wrapText="1"/>
    </xf>
    <xf numFmtId="0" fontId="25" fillId="0" borderId="14" xfId="869" applyFont="1" applyBorder="1" applyAlignment="1">
      <alignment horizontal="center" wrapText="1"/>
    </xf>
    <xf numFmtId="43" fontId="7" fillId="0" borderId="14" xfId="871" applyFont="1" applyBorder="1"/>
    <xf numFmtId="0" fontId="25" fillId="0" borderId="14" xfId="869" applyFont="1" applyFill="1" applyBorder="1" applyAlignment="1">
      <alignment horizontal="center" wrapText="1"/>
    </xf>
    <xf numFmtId="0" fontId="7" fillId="0" borderId="14" xfId="869" applyFont="1" applyBorder="1"/>
    <xf numFmtId="0" fontId="38" fillId="30" borderId="14" xfId="869" applyFont="1" applyFill="1" applyBorder="1"/>
    <xf numFmtId="164" fontId="25" fillId="0" borderId="14" xfId="869" applyNumberFormat="1" applyFont="1" applyFill="1" applyBorder="1" applyAlignment="1">
      <alignment horizontal="center" vertical="top" wrapText="1"/>
    </xf>
    <xf numFmtId="164" fontId="7" fillId="0" borderId="14" xfId="869" applyNumberFormat="1" applyFont="1" applyFill="1" applyBorder="1"/>
    <xf numFmtId="167" fontId="29" fillId="0" borderId="14" xfId="870" applyNumberFormat="1" applyFont="1" applyFill="1" applyBorder="1" applyAlignment="1">
      <alignment horizontal="center" vertical="center" wrapText="1"/>
    </xf>
    <xf numFmtId="43" fontId="38" fillId="0" borderId="14" xfId="871" applyFont="1" applyFill="1" applyBorder="1"/>
    <xf numFmtId="43" fontId="38" fillId="30" borderId="14" xfId="871" applyFont="1" applyFill="1" applyBorder="1"/>
    <xf numFmtId="164" fontId="38" fillId="30" borderId="14" xfId="869" applyNumberFormat="1" applyFont="1" applyFill="1" applyBorder="1" applyAlignment="1">
      <alignment horizontal="right"/>
    </xf>
    <xf numFmtId="38" fontId="7" fillId="0" borderId="14" xfId="869" applyNumberFormat="1" applyFont="1" applyBorder="1"/>
    <xf numFmtId="40" fontId="7" fillId="0" borderId="14" xfId="869" applyNumberFormat="1" applyFont="1" applyBorder="1"/>
    <xf numFmtId="165" fontId="25" fillId="0" borderId="14" xfId="869" applyNumberFormat="1" applyFont="1" applyBorder="1" applyAlignment="1">
      <alignment horizontal="center" vertical="center"/>
    </xf>
    <xf numFmtId="164" fontId="1" fillId="0" borderId="0" xfId="868" applyNumberFormat="1"/>
    <xf numFmtId="43" fontId="1" fillId="0" borderId="0" xfId="868" applyNumberFormat="1"/>
    <xf numFmtId="167" fontId="1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5" fillId="0" borderId="15" xfId="669" applyNumberFormat="1" applyFont="1" applyBorder="1" applyAlignment="1">
      <alignment vertical="center" wrapText="1"/>
    </xf>
    <xf numFmtId="165" fontId="25" fillId="0" borderId="17" xfId="871" applyNumberFormat="1" applyFont="1" applyBorder="1" applyAlignment="1">
      <alignment vertical="center" wrapText="1"/>
    </xf>
    <xf numFmtId="40" fontId="25" fillId="0" borderId="15" xfId="869" applyNumberFormat="1" applyFont="1" applyBorder="1" applyAlignment="1">
      <alignment vertical="center" wrapText="1"/>
    </xf>
    <xf numFmtId="0" fontId="35" fillId="0" borderId="45" xfId="868" applyFont="1" applyBorder="1" applyAlignment="1">
      <alignment vertical="top" wrapText="1"/>
    </xf>
    <xf numFmtId="167" fontId="7" fillId="0" borderId="14" xfId="871" applyNumberFormat="1" applyFont="1" applyBorder="1"/>
    <xf numFmtId="167" fontId="29" fillId="0" borderId="14" xfId="871" applyNumberFormat="1" applyFont="1" applyFill="1" applyBorder="1" applyAlignment="1">
      <alignment horizontal="center" vertical="center" wrapText="1"/>
    </xf>
    <xf numFmtId="167" fontId="38" fillId="30" borderId="14" xfId="871" applyNumberFormat="1" applyFont="1" applyFill="1" applyBorder="1"/>
    <xf numFmtId="164" fontId="25" fillId="0" borderId="19" xfId="869" applyNumberFormat="1" applyFont="1" applyBorder="1" applyAlignment="1">
      <alignment vertical="top" wrapText="1"/>
    </xf>
    <xf numFmtId="167" fontId="7" fillId="0" borderId="14" xfId="871" applyNumberFormat="1" applyFont="1" applyFill="1" applyBorder="1"/>
    <xf numFmtId="0" fontId="39" fillId="0" borderId="45" xfId="868" applyFont="1" applyBorder="1" applyAlignment="1">
      <alignment vertical="center" wrapText="1"/>
    </xf>
    <xf numFmtId="0" fontId="1" fillId="0" borderId="45" xfId="868" applyBorder="1" applyAlignment="1">
      <alignment vertical="center" wrapText="1"/>
    </xf>
    <xf numFmtId="0" fontId="27" fillId="24" borderId="11" xfId="0" applyFont="1" applyFill="1" applyBorder="1" applyAlignment="1">
      <alignment horizontal="center" vertical="center"/>
    </xf>
    <xf numFmtId="0" fontId="27" fillId="24" borderId="29" xfId="0" applyFont="1" applyFill="1" applyBorder="1" applyAlignment="1">
      <alignment horizontal="center" vertical="center"/>
    </xf>
    <xf numFmtId="37" fontId="27" fillId="24" borderId="35" xfId="508" applyNumberFormat="1" applyFont="1" applyFill="1" applyBorder="1" applyAlignment="1">
      <alignment horizontal="center" vertical="center" wrapText="1"/>
    </xf>
    <xf numFmtId="0" fontId="27" fillId="24" borderId="40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left" vertical="center"/>
    </xf>
    <xf numFmtId="37" fontId="27" fillId="0" borderId="24" xfId="508" applyNumberFormat="1" applyFont="1" applyFill="1" applyBorder="1" applyAlignment="1">
      <alignment horizontal="right" vertical="center"/>
    </xf>
    <xf numFmtId="165" fontId="27" fillId="24" borderId="33" xfId="508" applyNumberFormat="1" applyFont="1" applyFill="1" applyBorder="1" applyAlignment="1">
      <alignment horizontal="center" vertical="center" wrapText="1"/>
    </xf>
    <xf numFmtId="165" fontId="27" fillId="24" borderId="41" xfId="508" applyNumberFormat="1" applyFont="1" applyFill="1" applyBorder="1" applyAlignment="1">
      <alignment horizontal="center" vertical="center" wrapText="1"/>
    </xf>
    <xf numFmtId="165" fontId="27" fillId="24" borderId="28" xfId="508" applyNumberFormat="1" applyFont="1" applyFill="1" applyBorder="1" applyAlignment="1">
      <alignment horizontal="center" vertical="center" wrapText="1"/>
    </xf>
    <xf numFmtId="165" fontId="27" fillId="24" borderId="32" xfId="508" applyNumberFormat="1" applyFont="1" applyFill="1" applyBorder="1" applyAlignment="1">
      <alignment horizontal="center" vertical="center" wrapText="1"/>
    </xf>
    <xf numFmtId="43" fontId="27" fillId="24" borderId="31" xfId="508" applyNumberFormat="1" applyFont="1" applyFill="1" applyBorder="1" applyAlignment="1">
      <alignment horizontal="center" vertical="center" wrapText="1"/>
    </xf>
    <xf numFmtId="43" fontId="27" fillId="24" borderId="42" xfId="508" applyNumberFormat="1" applyFont="1" applyFill="1" applyBorder="1" applyAlignment="1">
      <alignment horizontal="center" vertical="center" wrapText="1"/>
    </xf>
    <xf numFmtId="37" fontId="36" fillId="24" borderId="35" xfId="508" applyNumberFormat="1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164" fontId="30" fillId="0" borderId="18" xfId="508" applyNumberFormat="1" applyFont="1" applyFill="1" applyBorder="1" applyAlignment="1">
      <alignment horizontal="left" vertical="top" wrapText="1"/>
    </xf>
    <xf numFmtId="164" fontId="30" fillId="0" borderId="43" xfId="508" applyNumberFormat="1" applyFont="1" applyFill="1" applyBorder="1" applyAlignment="1">
      <alignment horizontal="left" vertical="top" wrapText="1"/>
    </xf>
    <xf numFmtId="164" fontId="30" fillId="0" borderId="44" xfId="508" applyNumberFormat="1" applyFont="1" applyFill="1" applyBorder="1" applyAlignment="1">
      <alignment horizontal="left" vertical="top" wrapText="1"/>
    </xf>
    <xf numFmtId="38" fontId="27" fillId="0" borderId="13" xfId="508" applyNumberFormat="1" applyFont="1" applyBorder="1" applyAlignment="1">
      <alignment horizontal="left" vertical="top" wrapText="1"/>
    </xf>
    <xf numFmtId="164" fontId="30" fillId="0" borderId="13" xfId="508" applyNumberFormat="1" applyFont="1" applyBorder="1" applyAlignment="1">
      <alignment horizontal="left" vertical="top" wrapText="1"/>
    </xf>
    <xf numFmtId="164" fontId="30" fillId="0" borderId="41" xfId="508" applyNumberFormat="1" applyFont="1" applyBorder="1" applyAlignment="1">
      <alignment horizontal="left" vertical="top" wrapText="1"/>
    </xf>
    <xf numFmtId="38" fontId="27" fillId="0" borderId="13" xfId="508" applyNumberFormat="1" applyFont="1" applyFill="1" applyBorder="1" applyAlignment="1">
      <alignment horizontal="left" vertical="top" wrapText="1"/>
    </xf>
    <xf numFmtId="40" fontId="30" fillId="25" borderId="13" xfId="508" applyNumberFormat="1" applyFont="1" applyFill="1" applyBorder="1" applyAlignment="1">
      <alignment horizontal="left" vertical="center" wrapText="1"/>
    </xf>
    <xf numFmtId="40" fontId="30" fillId="25" borderId="14" xfId="508" applyNumberFormat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33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4" fontId="30" fillId="0" borderId="14" xfId="508" applyNumberFormat="1" applyFont="1" applyFill="1" applyBorder="1" applyAlignment="1">
      <alignment horizontal="left"/>
    </xf>
    <xf numFmtId="164" fontId="30" fillId="0" borderId="13" xfId="508" applyNumberFormat="1" applyFont="1" applyFill="1" applyBorder="1" applyAlignment="1">
      <alignment horizontal="left"/>
    </xf>
    <xf numFmtId="164" fontId="27" fillId="0" borderId="13" xfId="508" applyNumberFormat="1" applyFont="1" applyBorder="1" applyAlignment="1">
      <alignment horizontal="left" vertical="top" wrapText="1"/>
    </xf>
    <xf numFmtId="38" fontId="30" fillId="0" borderId="13" xfId="0" applyNumberFormat="1" applyFont="1" applyFill="1" applyBorder="1" applyAlignment="1">
      <alignment horizontal="left" vertical="center" wrapText="1"/>
    </xf>
    <xf numFmtId="38" fontId="30" fillId="0" borderId="14" xfId="0" applyNumberFormat="1" applyFont="1" applyFill="1" applyBorder="1" applyAlignment="1">
      <alignment horizontal="left" vertical="center" wrapText="1"/>
    </xf>
    <xf numFmtId="40" fontId="30" fillId="0" borderId="13" xfId="508" applyNumberFormat="1" applyFont="1" applyFill="1" applyBorder="1" applyAlignment="1">
      <alignment horizontal="left" vertical="center" wrapText="1"/>
    </xf>
    <xf numFmtId="40" fontId="30" fillId="0" borderId="14" xfId="508" applyNumberFormat="1" applyFont="1" applyFill="1" applyBorder="1" applyAlignment="1">
      <alignment horizontal="left" vertical="center" wrapText="1"/>
    </xf>
    <xf numFmtId="38" fontId="30" fillId="25" borderId="13" xfId="0" applyNumberFormat="1" applyFont="1" applyFill="1" applyBorder="1" applyAlignment="1">
      <alignment horizontal="left" vertical="center" wrapText="1"/>
    </xf>
    <xf numFmtId="38" fontId="30" fillId="25" borderId="14" xfId="0" applyNumberFormat="1" applyFont="1" applyFill="1" applyBorder="1" applyAlignment="1">
      <alignment horizontal="left" vertical="center" wrapText="1"/>
    </xf>
    <xf numFmtId="164" fontId="30" fillId="0" borderId="13" xfId="508" applyNumberFormat="1" applyFont="1" applyFill="1" applyBorder="1" applyAlignment="1">
      <alignment horizontal="left" vertical="top" wrapText="1"/>
    </xf>
    <xf numFmtId="43" fontId="30" fillId="0" borderId="13" xfId="508" applyFont="1" applyBorder="1" applyAlignment="1">
      <alignment horizontal="left" vertical="top" wrapText="1"/>
    </xf>
    <xf numFmtId="0" fontId="25" fillId="0" borderId="14" xfId="669" applyFont="1" applyBorder="1" applyAlignment="1">
      <alignment horizontal="left" vertical="center" wrapText="1"/>
    </xf>
    <xf numFmtId="164" fontId="25" fillId="0" borderId="14" xfId="869" applyNumberFormat="1" applyFont="1" applyBorder="1" applyAlignment="1">
      <alignment horizontal="left" vertical="top" wrapText="1"/>
    </xf>
    <xf numFmtId="0" fontId="25" fillId="0" borderId="14" xfId="869" applyFont="1" applyBorder="1" applyAlignment="1">
      <alignment horizontal="left" vertical="top" wrapText="1"/>
    </xf>
    <xf numFmtId="38" fontId="25" fillId="0" borderId="14" xfId="669" applyNumberFormat="1" applyFont="1" applyBorder="1" applyAlignment="1">
      <alignment horizontal="left" vertical="center" wrapText="1"/>
    </xf>
    <xf numFmtId="40" fontId="25" fillId="0" borderId="14" xfId="869" applyNumberFormat="1" applyFont="1" applyBorder="1" applyAlignment="1">
      <alignment horizontal="left" vertical="center" wrapText="1"/>
    </xf>
    <xf numFmtId="0" fontId="26" fillId="30" borderId="14" xfId="669" applyFont="1" applyFill="1" applyBorder="1" applyAlignment="1">
      <alignment horizontal="center" vertical="center"/>
    </xf>
    <xf numFmtId="164" fontId="25" fillId="0" borderId="19" xfId="869" applyNumberFormat="1" applyFont="1" applyBorder="1" applyAlignment="1">
      <alignment horizontal="left" vertical="top" wrapText="1"/>
    </xf>
    <xf numFmtId="164" fontId="25" fillId="0" borderId="34" xfId="869" applyNumberFormat="1" applyFont="1" applyBorder="1" applyAlignment="1">
      <alignment horizontal="left" vertical="top" wrapText="1"/>
    </xf>
    <xf numFmtId="164" fontId="25" fillId="0" borderId="38" xfId="869" applyNumberFormat="1" applyFont="1" applyBorder="1" applyAlignment="1">
      <alignment horizontal="left" vertical="top" wrapText="1"/>
    </xf>
  </cellXfs>
  <cellStyles count="872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September,</a:t>
            </a:r>
            <a:r>
              <a:rPr lang="en-US"/>
              <a:t> 2013)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3063424"/>
        <c:axId val="113064960"/>
        <c:axId val="0"/>
      </c:bar3DChart>
      <c:catAx>
        <c:axId val="1130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3064960"/>
        <c:crosses val="autoZero"/>
        <c:auto val="1"/>
        <c:lblAlgn val="ctr"/>
        <c:lblOffset val="100"/>
        <c:noMultiLvlLbl val="0"/>
      </c:catAx>
      <c:valAx>
        <c:axId val="11306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063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34781.01571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50357.762002000003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924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85138.77771200001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75488"/>
        <c:axId val="177389568"/>
      </c:lineChart>
      <c:catAx>
        <c:axId val="17737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389568"/>
        <c:crosses val="autoZero"/>
        <c:auto val="1"/>
        <c:lblAlgn val="ctr"/>
        <c:lblOffset val="100"/>
        <c:noMultiLvlLbl val="0"/>
      </c:catAx>
      <c:valAx>
        <c:axId val="17738956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737548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1652.9050830000001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10816"/>
        <c:axId val="177412352"/>
      </c:lineChart>
      <c:catAx>
        <c:axId val="17741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412352"/>
        <c:crosses val="autoZero"/>
        <c:auto val="1"/>
        <c:lblAlgn val="ctr"/>
        <c:lblOffset val="100"/>
        <c:noMultiLvlLbl val="0"/>
      </c:catAx>
      <c:valAx>
        <c:axId val="177412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4108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971319.44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2529821.56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3501141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39872"/>
        <c:axId val="177441408"/>
      </c:lineChart>
      <c:catAx>
        <c:axId val="17743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441408"/>
        <c:crosses val="autoZero"/>
        <c:auto val="1"/>
        <c:lblAlgn val="ctr"/>
        <c:lblOffset val="100"/>
        <c:noMultiLvlLbl val="0"/>
      </c:catAx>
      <c:valAx>
        <c:axId val="17744140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43987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Infrastructue Schemes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140993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17467.013999999999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1248"/>
        <c:axId val="177702784"/>
      </c:lineChart>
      <c:catAx>
        <c:axId val="177701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702784"/>
        <c:crosses val="autoZero"/>
        <c:auto val="1"/>
        <c:lblAlgn val="ctr"/>
        <c:lblOffset val="100"/>
        <c:noMultiLvlLbl val="0"/>
      </c:catAx>
      <c:valAx>
        <c:axId val="17770278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7012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Infrastructue Sechemes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4258376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724032"/>
        <c:axId val="177746304"/>
      </c:lineChart>
      <c:catAx>
        <c:axId val="177724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746304"/>
        <c:crosses val="autoZero"/>
        <c:auto val="1"/>
        <c:lblAlgn val="ctr"/>
        <c:lblOffset val="100"/>
        <c:noMultiLvlLbl val="0"/>
      </c:catAx>
      <c:valAx>
        <c:axId val="17774630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724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771264"/>
        <c:axId val="177772800"/>
      </c:lineChart>
      <c:catAx>
        <c:axId val="17777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772800"/>
        <c:crosses val="autoZero"/>
        <c:auto val="1"/>
        <c:lblAlgn val="ctr"/>
        <c:lblOffset val="100"/>
        <c:noMultiLvlLbl val="0"/>
      </c:catAx>
      <c:valAx>
        <c:axId val="17777280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7777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  September, 2013)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279</c:v>
                </c:pt>
                <c:pt idx="1">
                  <c:v>518</c:v>
                </c:pt>
                <c:pt idx="2">
                  <c:v>690</c:v>
                </c:pt>
                <c:pt idx="3">
                  <c:v>1783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091328"/>
        <c:axId val="113092864"/>
      </c:barChart>
      <c:catAx>
        <c:axId val="113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092864"/>
        <c:crosses val="autoZero"/>
        <c:auto val="1"/>
        <c:lblAlgn val="ctr"/>
        <c:lblOffset val="100"/>
        <c:noMultiLvlLbl val="0"/>
      </c:catAx>
      <c:valAx>
        <c:axId val="113092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0913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Province-wise organized households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(% of total rural households based on 1998 census data )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(As at September, 2013)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16025657850460981"/>
          <c:y val="3.233830845771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1430024649025E-2"/>
          <c:y val="0.45522498645684334"/>
          <c:w val="0.88141163582299686"/>
          <c:h val="0.22388114088041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35.276980462815239</c:v>
                </c:pt>
                <c:pt idx="1">
                  <c:v>44.044300662890812</c:v>
                </c:pt>
                <c:pt idx="2">
                  <c:v>41.042163982047143</c:v>
                </c:pt>
                <c:pt idx="3">
                  <c:v>46.057823140622233</c:v>
                </c:pt>
                <c:pt idx="4">
                  <c:v>68.260329794100642</c:v>
                </c:pt>
                <c:pt idx="5">
                  <c:v>69.747920669136846</c:v>
                </c:pt>
                <c:pt idx="6">
                  <c:v>2.1670324653943447</c:v>
                </c:pt>
                <c:pt idx="7">
                  <c:v>43.62491275685133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434368"/>
        <c:axId val="87435904"/>
      </c:barChart>
      <c:catAx>
        <c:axId val="874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435904"/>
        <c:crosses val="autoZero"/>
        <c:auto val="1"/>
        <c:lblAlgn val="ctr"/>
        <c:lblOffset val="100"/>
        <c:noMultiLvlLbl val="0"/>
      </c:catAx>
      <c:valAx>
        <c:axId val="8743590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434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distircs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89920"/>
        <c:axId val="177104000"/>
      </c:lineChart>
      <c:catAx>
        <c:axId val="8748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104000"/>
        <c:crosses val="autoZero"/>
        <c:auto val="1"/>
        <c:lblAlgn val="ctr"/>
        <c:lblOffset val="100"/>
        <c:noMultiLvlLbl val="0"/>
      </c:catAx>
      <c:valAx>
        <c:axId val="17710400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8748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3579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49824"/>
        <c:axId val="177151360"/>
      </c:lineChart>
      <c:catAx>
        <c:axId val="177149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151360"/>
        <c:crosses val="autoZero"/>
        <c:auto val="1"/>
        <c:lblAlgn val="ctr"/>
        <c:lblOffset val="100"/>
        <c:noMultiLvlLbl val="0"/>
      </c:catAx>
      <c:valAx>
        <c:axId val="17715136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7714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 (in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5.1904170000000001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63648"/>
        <c:axId val="177185920"/>
      </c:lineChart>
      <c:catAx>
        <c:axId val="17716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185920"/>
        <c:crosses val="autoZero"/>
        <c:auto val="1"/>
        <c:lblAlgn val="ctr"/>
        <c:lblOffset val="100"/>
        <c:noMultiLvlLbl val="0"/>
      </c:catAx>
      <c:valAx>
        <c:axId val="17718592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71636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151842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150078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11224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313144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581056"/>
        <c:axId val="109582592"/>
      </c:lineChart>
      <c:catAx>
        <c:axId val="109581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582592"/>
        <c:crosses val="autoZero"/>
        <c:auto val="1"/>
        <c:lblAlgn val="ctr"/>
        <c:lblOffset val="100"/>
        <c:noMultiLvlLbl val="0"/>
      </c:catAx>
      <c:valAx>
        <c:axId val="10958259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095810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748.18999999999994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1820.3119999999997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2568.5019999999995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02304"/>
        <c:axId val="109603840"/>
      </c:lineChart>
      <c:catAx>
        <c:axId val="109602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03840"/>
        <c:crosses val="autoZero"/>
        <c:auto val="1"/>
        <c:lblAlgn val="ctr"/>
        <c:lblOffset val="100"/>
        <c:noMultiLvlLbl val="0"/>
      </c:catAx>
      <c:valAx>
        <c:axId val="10960384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6023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Managment Skills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1635674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864734299516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1517653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945606694560664E-2"/>
                  <c:y val="-7.3429951690821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2012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3153327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42336"/>
        <c:axId val="177343872"/>
      </c:lineChart>
      <c:catAx>
        <c:axId val="17734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343872"/>
        <c:crosses val="autoZero"/>
        <c:auto val="1"/>
        <c:lblAlgn val="ctr"/>
        <c:lblOffset val="100"/>
        <c:noMultiLvlLbl val="0"/>
      </c:catAx>
      <c:valAx>
        <c:axId val="17734387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734233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36</xdr:row>
      <xdr:rowOff>133350</xdr:rowOff>
    </xdr:from>
    <xdr:to>
      <xdr:col>2</xdr:col>
      <xdr:colOff>609600</xdr:colOff>
      <xdr:row>60</xdr:row>
      <xdr:rowOff>76200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466725</xdr:colOff>
      <xdr:row>5</xdr:row>
      <xdr:rowOff>185736</xdr:rowOff>
    </xdr:from>
    <xdr:to>
      <xdr:col>23</xdr:col>
      <xdr:colOff>485775</xdr:colOff>
      <xdr:row>23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O_Outreach_Issue_18th__(June_2013)-Fin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RSO%20Outreach_Issue%2019_As%20of%20September%202013%20(sent%20to%20RSPs%2029-11-1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ropbox\Outreach\Issue%2018\PRSP-Outreach%20(June%202013)%20All%20RSP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SP%20Outreach_Issue_19_As_of_September_2013_(sent_to_RSPs_29-11-1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0%20RSPN%20Folder/RSPN%20Core%20Programme/Work%20Plan%20(2013-14)/RKM/Outreach%20Issue%2018/Outreach_Issue_18(June%202013)%20RKM%20Vers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RSP%20Outreach_Issue%2019_As%20of%20September%202013%20(sent%20to%20RSPs%2029-11-1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PRSP-Outreach%20(June%202013)%20All%20RSP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SRSP-Outreach%20Issue%2018th%20%20(June%202013)%20%20-%20SR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reach_Issue%2019_As%20of%20September%202013%20(sent%20to%20RSPs%2029-11-1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BRSP%20Outreach%20Issue%2018th%20%20(June%202013)%20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reach_Issue%2019-SRS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GBTI%20-Outreach%20Issue%2018th%20%20(June%202013)%20%20(Sent%20to%20RSPs%2021-08-13)-Fin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reach_Issue%2019_As%20of%20September%202013%20(sent%20to%20RSPs%2029-11-13).GBT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TRDP-Outreach%20Issue%2018th%20%20(June%202013)%20%20(04-09-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DP%20Outreach_Issue%2019_As%20of%20September%202013%20(sent%20to%20RSPs%2029-11-1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1">
          <cell r="E81">
            <v>37</v>
          </cell>
          <cell r="I81">
            <v>283</v>
          </cell>
        </row>
        <row r="83">
          <cell r="E83">
            <v>29</v>
          </cell>
          <cell r="I83">
            <v>204</v>
          </cell>
        </row>
        <row r="86">
          <cell r="E86">
            <v>37</v>
          </cell>
          <cell r="I86">
            <v>170</v>
          </cell>
        </row>
        <row r="87">
          <cell r="E87">
            <v>49</v>
          </cell>
          <cell r="I87">
            <v>244</v>
          </cell>
        </row>
        <row r="88">
          <cell r="E88">
            <v>38</v>
          </cell>
          <cell r="I88">
            <v>178</v>
          </cell>
        </row>
        <row r="91">
          <cell r="E91">
            <v>39</v>
          </cell>
          <cell r="I91">
            <v>142</v>
          </cell>
        </row>
        <row r="93">
          <cell r="E93">
            <v>34</v>
          </cell>
          <cell r="I93">
            <v>236</v>
          </cell>
        </row>
        <row r="95">
          <cell r="E95">
            <v>50</v>
          </cell>
          <cell r="I95">
            <v>222</v>
          </cell>
        </row>
        <row r="96">
          <cell r="E96">
            <v>25</v>
          </cell>
          <cell r="I96">
            <v>196</v>
          </cell>
        </row>
      </sheetData>
      <sheetData sheetId="2">
        <row r="8">
          <cell r="J8">
            <v>32866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553067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226024</v>
          </cell>
        </row>
        <row r="19">
          <cell r="J19">
            <v>13129</v>
          </cell>
        </row>
        <row r="21">
          <cell r="J21">
            <v>17</v>
          </cell>
        </row>
        <row r="22">
          <cell r="J22">
            <v>3528</v>
          </cell>
        </row>
        <row r="23">
          <cell r="J23">
            <v>94183</v>
          </cell>
        </row>
        <row r="24">
          <cell r="J24">
            <v>938</v>
          </cell>
        </row>
        <row r="25">
          <cell r="J25">
            <v>3606</v>
          </cell>
        </row>
        <row r="26">
          <cell r="J26">
            <v>634</v>
          </cell>
        </row>
        <row r="28">
          <cell r="J28">
            <v>226391</v>
          </cell>
        </row>
        <row r="29">
          <cell r="J29">
            <v>43786</v>
          </cell>
        </row>
        <row r="31">
          <cell r="J31">
            <v>211929</v>
          </cell>
        </row>
        <row r="32">
          <cell r="J32">
            <v>40601</v>
          </cell>
        </row>
        <row r="34">
          <cell r="J34">
            <v>358136</v>
          </cell>
        </row>
        <row r="35">
          <cell r="J35">
            <v>257340</v>
          </cell>
        </row>
        <row r="37">
          <cell r="J37">
            <v>39555</v>
          </cell>
        </row>
        <row r="38">
          <cell r="J38">
            <v>39555</v>
          </cell>
        </row>
        <row r="39">
          <cell r="J39">
            <v>227005</v>
          </cell>
        </row>
        <row r="40">
          <cell r="J40">
            <v>227005</v>
          </cell>
        </row>
        <row r="41">
          <cell r="J41">
            <v>2567</v>
          </cell>
        </row>
        <row r="42">
          <cell r="J42">
            <v>2567</v>
          </cell>
        </row>
        <row r="43">
          <cell r="J43">
            <v>2</v>
          </cell>
        </row>
        <row r="44">
          <cell r="J44">
            <v>25</v>
          </cell>
        </row>
        <row r="45">
          <cell r="J45">
            <v>55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82">
          <cell r="L82">
            <v>123054</v>
          </cell>
          <cell r="P82">
            <v>6961</v>
          </cell>
        </row>
        <row r="84">
          <cell r="L84">
            <v>84893</v>
          </cell>
          <cell r="P84">
            <v>5074</v>
          </cell>
        </row>
        <row r="87">
          <cell r="L87">
            <v>80708</v>
          </cell>
          <cell r="P87">
            <v>4787</v>
          </cell>
        </row>
        <row r="88">
          <cell r="L88">
            <v>70400</v>
          </cell>
          <cell r="P88">
            <v>4078</v>
          </cell>
        </row>
        <row r="89">
          <cell r="L89">
            <v>37589</v>
          </cell>
          <cell r="P89">
            <v>3605</v>
          </cell>
        </row>
        <row r="92">
          <cell r="L92">
            <v>24710</v>
          </cell>
          <cell r="P92">
            <v>1729</v>
          </cell>
        </row>
        <row r="94">
          <cell r="L94">
            <v>29475</v>
          </cell>
          <cell r="P94">
            <v>2221</v>
          </cell>
        </row>
        <row r="96">
          <cell r="L96">
            <v>104557</v>
          </cell>
          <cell r="P96">
            <v>5997</v>
          </cell>
        </row>
        <row r="97">
          <cell r="L97">
            <v>36343</v>
          </cell>
          <cell r="P97">
            <v>2613</v>
          </cell>
        </row>
      </sheetData>
      <sheetData sheetId="2">
        <row r="7">
          <cell r="J7">
            <v>90</v>
          </cell>
        </row>
        <row r="8">
          <cell r="J8">
            <v>32866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553067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226840</v>
          </cell>
        </row>
        <row r="19">
          <cell r="J19">
            <v>13129</v>
          </cell>
        </row>
        <row r="21">
          <cell r="J21">
            <v>17</v>
          </cell>
        </row>
        <row r="22">
          <cell r="J22">
            <v>3528</v>
          </cell>
        </row>
        <row r="23">
          <cell r="J23">
            <v>94183</v>
          </cell>
        </row>
        <row r="24">
          <cell r="J24">
            <v>938</v>
          </cell>
        </row>
        <row r="25">
          <cell r="J25">
            <v>3692</v>
          </cell>
        </row>
        <row r="26">
          <cell r="J26">
            <v>634</v>
          </cell>
        </row>
        <row r="28">
          <cell r="J28">
            <v>230955</v>
          </cell>
        </row>
        <row r="29">
          <cell r="J29">
            <v>43796</v>
          </cell>
        </row>
        <row r="31">
          <cell r="J31">
            <v>212745</v>
          </cell>
        </row>
        <row r="32">
          <cell r="J32">
            <v>40601</v>
          </cell>
        </row>
        <row r="34">
          <cell r="J34">
            <v>358952</v>
          </cell>
        </row>
        <row r="35">
          <cell r="J35">
            <v>257340</v>
          </cell>
        </row>
        <row r="37">
          <cell r="J37">
            <v>39559</v>
          </cell>
        </row>
        <row r="38">
          <cell r="J38">
            <v>39559</v>
          </cell>
        </row>
        <row r="39">
          <cell r="J39">
            <v>227555</v>
          </cell>
        </row>
        <row r="40">
          <cell r="J40">
            <v>227555</v>
          </cell>
        </row>
        <row r="41">
          <cell r="J41">
            <v>2568</v>
          </cell>
        </row>
        <row r="42">
          <cell r="J42">
            <v>2568</v>
          </cell>
        </row>
        <row r="43">
          <cell r="J43">
            <v>2</v>
          </cell>
        </row>
        <row r="44">
          <cell r="J44">
            <v>25</v>
          </cell>
        </row>
        <row r="45">
          <cell r="J45">
            <v>55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/>
      <sheetData sheetId="1">
        <row r="111">
          <cell r="E111">
            <v>0</v>
          </cell>
          <cell r="H111">
            <v>0</v>
          </cell>
        </row>
        <row r="113">
          <cell r="E113">
            <v>0</v>
          </cell>
          <cell r="H113">
            <v>0</v>
          </cell>
        </row>
        <row r="114">
          <cell r="E114">
            <v>71</v>
          </cell>
          <cell r="H114">
            <v>336</v>
          </cell>
        </row>
        <row r="115">
          <cell r="E115">
            <v>62</v>
          </cell>
          <cell r="H115">
            <v>372</v>
          </cell>
        </row>
        <row r="116">
          <cell r="E116">
            <v>35</v>
          </cell>
          <cell r="H116">
            <v>368</v>
          </cell>
        </row>
        <row r="117">
          <cell r="E117">
            <v>16</v>
          </cell>
          <cell r="H117">
            <v>108</v>
          </cell>
        </row>
        <row r="118">
          <cell r="E118">
            <v>21</v>
          </cell>
          <cell r="H118">
            <v>181</v>
          </cell>
        </row>
        <row r="120">
          <cell r="E120">
            <v>7</v>
          </cell>
          <cell r="H120">
            <v>20</v>
          </cell>
        </row>
        <row r="121">
          <cell r="H121">
            <v>129</v>
          </cell>
        </row>
        <row r="124">
          <cell r="E124">
            <v>27</v>
          </cell>
          <cell r="H124">
            <v>156</v>
          </cell>
        </row>
        <row r="125">
          <cell r="E125">
            <v>24</v>
          </cell>
          <cell r="H125">
            <v>346</v>
          </cell>
        </row>
        <row r="127">
          <cell r="E127">
            <v>5</v>
          </cell>
          <cell r="H127">
            <v>14</v>
          </cell>
        </row>
        <row r="128">
          <cell r="E128">
            <v>53</v>
          </cell>
          <cell r="H128">
            <v>244</v>
          </cell>
        </row>
        <row r="131">
          <cell r="E131">
            <v>22</v>
          </cell>
          <cell r="H131">
            <v>148</v>
          </cell>
        </row>
        <row r="133">
          <cell r="E133">
            <v>16</v>
          </cell>
          <cell r="H133">
            <v>256</v>
          </cell>
        </row>
        <row r="135">
          <cell r="E135">
            <v>0</v>
          </cell>
          <cell r="H135">
            <v>0</v>
          </cell>
        </row>
        <row r="136">
          <cell r="E136">
            <v>61</v>
          </cell>
          <cell r="H136">
            <v>554</v>
          </cell>
        </row>
        <row r="137">
          <cell r="E137">
            <v>27</v>
          </cell>
          <cell r="H137">
            <v>229</v>
          </cell>
        </row>
        <row r="138">
          <cell r="E138">
            <v>20</v>
          </cell>
          <cell r="H138">
            <v>174</v>
          </cell>
        </row>
        <row r="142">
          <cell r="E142">
            <v>0</v>
          </cell>
          <cell r="H142">
            <v>0</v>
          </cell>
        </row>
        <row r="144">
          <cell r="E144">
            <v>39</v>
          </cell>
          <cell r="H144">
            <v>272</v>
          </cell>
        </row>
        <row r="146">
          <cell r="E146">
            <v>57</v>
          </cell>
          <cell r="H146">
            <v>224</v>
          </cell>
        </row>
        <row r="148">
          <cell r="E148">
            <v>10</v>
          </cell>
          <cell r="H148">
            <v>143</v>
          </cell>
        </row>
        <row r="149">
          <cell r="E149">
            <v>87</v>
          </cell>
          <cell r="H149">
            <v>788</v>
          </cell>
        </row>
        <row r="150">
          <cell r="E150">
            <v>22</v>
          </cell>
          <cell r="H150">
            <v>152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112">
          <cell r="L112">
            <v>1069</v>
          </cell>
          <cell r="P112">
            <v>60</v>
          </cell>
        </row>
        <row r="114">
          <cell r="L114">
            <v>20260</v>
          </cell>
          <cell r="P114">
            <v>1302</v>
          </cell>
        </row>
        <row r="115">
          <cell r="L115">
            <v>61005</v>
          </cell>
          <cell r="P115">
            <v>3984</v>
          </cell>
        </row>
        <row r="116">
          <cell r="L116">
            <v>54211</v>
          </cell>
          <cell r="P116">
            <v>3051</v>
          </cell>
        </row>
        <row r="117">
          <cell r="L117">
            <v>48630</v>
          </cell>
          <cell r="P117">
            <v>3095</v>
          </cell>
        </row>
        <row r="118">
          <cell r="L118">
            <v>29089</v>
          </cell>
          <cell r="P118">
            <v>1787</v>
          </cell>
        </row>
        <row r="119">
          <cell r="L119">
            <v>28048</v>
          </cell>
          <cell r="P119">
            <v>1922</v>
          </cell>
        </row>
        <row r="121">
          <cell r="L121">
            <v>11323</v>
          </cell>
          <cell r="P121">
            <v>868</v>
          </cell>
        </row>
        <row r="122">
          <cell r="L122">
            <v>27240</v>
          </cell>
          <cell r="P122">
            <v>1678</v>
          </cell>
        </row>
        <row r="125">
          <cell r="L125">
            <v>41319</v>
          </cell>
          <cell r="P125">
            <v>2781</v>
          </cell>
        </row>
        <row r="126">
          <cell r="L126">
            <v>122284</v>
          </cell>
          <cell r="P126">
            <v>8095</v>
          </cell>
        </row>
        <row r="128">
          <cell r="L128">
            <v>4712</v>
          </cell>
          <cell r="P128">
            <v>313</v>
          </cell>
        </row>
        <row r="129">
          <cell r="L129">
            <v>36057</v>
          </cell>
          <cell r="P129">
            <v>2342</v>
          </cell>
        </row>
        <row r="131">
          <cell r="L131">
            <v>35212</v>
          </cell>
          <cell r="P131">
            <v>2382</v>
          </cell>
        </row>
        <row r="133">
          <cell r="L133">
            <v>147681</v>
          </cell>
          <cell r="P133">
            <v>8967</v>
          </cell>
        </row>
        <row r="135">
          <cell r="L135">
            <v>695</v>
          </cell>
          <cell r="P135">
            <v>45</v>
          </cell>
        </row>
        <row r="136">
          <cell r="L136">
            <v>111650</v>
          </cell>
          <cell r="P136">
            <v>5388</v>
          </cell>
        </row>
        <row r="137">
          <cell r="L137">
            <v>34016</v>
          </cell>
          <cell r="P137">
            <v>2247</v>
          </cell>
        </row>
        <row r="138">
          <cell r="L138">
            <v>23556</v>
          </cell>
          <cell r="P138">
            <v>1526</v>
          </cell>
        </row>
        <row r="142">
          <cell r="L142">
            <v>18650</v>
          </cell>
          <cell r="P142">
            <v>1218</v>
          </cell>
        </row>
        <row r="144">
          <cell r="L144">
            <v>44088</v>
          </cell>
          <cell r="P144">
            <v>2775</v>
          </cell>
        </row>
        <row r="146">
          <cell r="L146">
            <v>48838</v>
          </cell>
          <cell r="P146">
            <v>3046</v>
          </cell>
        </row>
        <row r="148">
          <cell r="L148">
            <v>25433</v>
          </cell>
          <cell r="P148">
            <v>1638</v>
          </cell>
        </row>
        <row r="149">
          <cell r="L149">
            <v>159798</v>
          </cell>
          <cell r="P149">
            <v>7138</v>
          </cell>
        </row>
        <row r="150">
          <cell r="L150">
            <v>39174</v>
          </cell>
          <cell r="P150">
            <v>2562</v>
          </cell>
        </row>
      </sheetData>
      <sheetData sheetId="2">
        <row r="7">
          <cell r="H7">
            <v>26</v>
          </cell>
        </row>
        <row r="8">
          <cell r="H8">
            <v>29004</v>
          </cell>
        </row>
        <row r="9">
          <cell r="H9">
            <v>41206</v>
          </cell>
        </row>
        <row r="10">
          <cell r="H10">
            <v>0</v>
          </cell>
        </row>
        <row r="12">
          <cell r="H12">
            <v>475512</v>
          </cell>
        </row>
        <row r="13">
          <cell r="H13">
            <v>708744</v>
          </cell>
        </row>
        <row r="15">
          <cell r="H15">
            <v>68.251999999999995</v>
          </cell>
        </row>
        <row r="16">
          <cell r="H16">
            <v>72.045000000000002</v>
          </cell>
        </row>
        <row r="18">
          <cell r="H18">
            <v>142974</v>
          </cell>
        </row>
        <row r="19">
          <cell r="H19">
            <v>325516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2686</v>
          </cell>
        </row>
        <row r="24">
          <cell r="H24">
            <v>31.241</v>
          </cell>
        </row>
        <row r="25">
          <cell r="H25">
            <v>4230.6400000000003</v>
          </cell>
        </row>
        <row r="26">
          <cell r="H26">
            <v>5981.52</v>
          </cell>
        </row>
        <row r="28">
          <cell r="H28">
            <v>304833</v>
          </cell>
        </row>
        <row r="29">
          <cell r="H29">
            <v>426628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198</v>
          </cell>
        </row>
        <row r="44">
          <cell r="H44">
            <v>6660</v>
          </cell>
        </row>
        <row r="45">
          <cell r="H45">
            <v>5035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/>
      <sheetData sheetId="2">
        <row r="8">
          <cell r="C8">
            <v>1577</v>
          </cell>
          <cell r="I8">
            <v>410</v>
          </cell>
        </row>
        <row r="9">
          <cell r="C9">
            <v>2138</v>
          </cell>
          <cell r="I9">
            <v>450</v>
          </cell>
        </row>
        <row r="10">
          <cell r="C10">
            <v>1035</v>
          </cell>
          <cell r="I10">
            <v>0</v>
          </cell>
        </row>
        <row r="12">
          <cell r="C12">
            <v>44063</v>
          </cell>
          <cell r="I12">
            <v>10845</v>
          </cell>
        </row>
        <row r="13">
          <cell r="C13">
            <v>58257</v>
          </cell>
          <cell r="I13">
            <v>11348</v>
          </cell>
        </row>
        <row r="15">
          <cell r="C15">
            <v>24.064</v>
          </cell>
          <cell r="I15">
            <v>0</v>
          </cell>
        </row>
        <row r="16">
          <cell r="C16">
            <v>11.851000000000001</v>
          </cell>
          <cell r="I16">
            <v>1</v>
          </cell>
        </row>
        <row r="18">
          <cell r="C18">
            <v>10954</v>
          </cell>
          <cell r="I18">
            <v>4830</v>
          </cell>
        </row>
        <row r="19">
          <cell r="C19">
            <v>6385</v>
          </cell>
          <cell r="I19">
            <v>4825</v>
          </cell>
        </row>
        <row r="21">
          <cell r="C21">
            <v>6</v>
          </cell>
          <cell r="I21">
            <v>0</v>
          </cell>
        </row>
        <row r="22">
          <cell r="C22">
            <v>0</v>
          </cell>
          <cell r="I22">
            <v>0</v>
          </cell>
        </row>
        <row r="23">
          <cell r="C23">
            <v>1094</v>
          </cell>
          <cell r="I23">
            <v>0</v>
          </cell>
        </row>
        <row r="24">
          <cell r="C24">
            <v>16</v>
          </cell>
          <cell r="I24">
            <v>0</v>
          </cell>
        </row>
        <row r="25">
          <cell r="C25">
            <v>79.263000000000005</v>
          </cell>
          <cell r="I25">
            <v>0</v>
          </cell>
        </row>
        <row r="26">
          <cell r="C26">
            <v>58.572000000000003</v>
          </cell>
          <cell r="I26">
            <v>0</v>
          </cell>
        </row>
        <row r="28">
          <cell r="C28">
            <v>4764</v>
          </cell>
          <cell r="I28">
            <v>0</v>
          </cell>
        </row>
        <row r="29">
          <cell r="C29">
            <v>3217</v>
          </cell>
          <cell r="I29">
            <v>0</v>
          </cell>
        </row>
        <row r="31">
          <cell r="C31">
            <v>0</v>
          </cell>
          <cell r="I31">
            <v>0</v>
          </cell>
        </row>
        <row r="32">
          <cell r="C32">
            <v>0</v>
          </cell>
          <cell r="I32">
            <v>0</v>
          </cell>
        </row>
        <row r="34">
          <cell r="C34">
            <v>0</v>
          </cell>
          <cell r="I34">
            <v>0</v>
          </cell>
        </row>
        <row r="35">
          <cell r="C35">
            <v>0</v>
          </cell>
          <cell r="I35">
            <v>0</v>
          </cell>
        </row>
        <row r="37">
          <cell r="C37">
            <v>1637</v>
          </cell>
          <cell r="I37">
            <v>16</v>
          </cell>
        </row>
        <row r="38">
          <cell r="C38">
            <v>1637</v>
          </cell>
          <cell r="I38">
            <v>16</v>
          </cell>
        </row>
        <row r="39">
          <cell r="C39">
            <v>100347</v>
          </cell>
          <cell r="I39">
            <v>6500</v>
          </cell>
        </row>
        <row r="40">
          <cell r="C40">
            <v>100347</v>
          </cell>
          <cell r="I40">
            <v>0</v>
          </cell>
        </row>
        <row r="41">
          <cell r="C41">
            <v>635.803</v>
          </cell>
          <cell r="I41">
            <v>20</v>
          </cell>
        </row>
        <row r="42">
          <cell r="C42">
            <v>635.803</v>
          </cell>
          <cell r="I42">
            <v>20</v>
          </cell>
        </row>
        <row r="43">
          <cell r="C43">
            <v>355</v>
          </cell>
          <cell r="I43">
            <v>25</v>
          </cell>
        </row>
        <row r="44">
          <cell r="C44">
            <v>11370</v>
          </cell>
          <cell r="I44">
            <v>3526</v>
          </cell>
        </row>
        <row r="45">
          <cell r="C45">
            <v>9922</v>
          </cell>
          <cell r="I45">
            <v>5110</v>
          </cell>
        </row>
        <row r="47">
          <cell r="C47">
            <v>0</v>
          </cell>
          <cell r="I47">
            <v>0</v>
          </cell>
        </row>
        <row r="48">
          <cell r="C48">
            <v>0</v>
          </cell>
          <cell r="I48">
            <v>0</v>
          </cell>
        </row>
        <row r="50">
          <cell r="C50">
            <v>31</v>
          </cell>
        </row>
        <row r="51">
          <cell r="C51">
            <v>0</v>
          </cell>
          <cell r="I51">
            <v>0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/>
      <sheetData sheetId="2">
        <row r="7">
          <cell r="E7">
            <v>43</v>
          </cell>
        </row>
        <row r="8">
          <cell r="E8">
            <v>3471</v>
          </cell>
        </row>
        <row r="9">
          <cell r="E9">
            <v>7956</v>
          </cell>
        </row>
        <row r="10">
          <cell r="E10">
            <v>54</v>
          </cell>
        </row>
        <row r="12">
          <cell r="E12">
            <v>57821</v>
          </cell>
        </row>
        <row r="13">
          <cell r="E13">
            <v>131003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47681</v>
          </cell>
        </row>
        <row r="19">
          <cell r="E19">
            <v>112479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1295</v>
          </cell>
        </row>
        <row r="38">
          <cell r="E38">
            <v>1086</v>
          </cell>
        </row>
        <row r="39">
          <cell r="E39">
            <v>71525</v>
          </cell>
        </row>
        <row r="40">
          <cell r="E40">
            <v>68132</v>
          </cell>
        </row>
        <row r="41">
          <cell r="E41">
            <v>641</v>
          </cell>
        </row>
        <row r="42">
          <cell r="E42">
            <v>544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  <sheetName val="Difference"/>
    </sheetNames>
    <sheetDataSet>
      <sheetData sheetId="0" refreshError="1"/>
      <sheetData sheetId="1" refreshError="1"/>
      <sheetData sheetId="2" refreshError="1">
        <row r="8">
          <cell r="H8">
            <v>28382</v>
          </cell>
        </row>
        <row r="9">
          <cell r="H9">
            <v>40600</v>
          </cell>
        </row>
        <row r="10">
          <cell r="H10">
            <v>0</v>
          </cell>
        </row>
        <row r="12">
          <cell r="H12">
            <v>463722</v>
          </cell>
        </row>
        <row r="13">
          <cell r="H13">
            <v>697339</v>
          </cell>
        </row>
        <row r="15">
          <cell r="H15">
            <v>56.366999999999997</v>
          </cell>
        </row>
        <row r="16">
          <cell r="H16">
            <v>63.838999999999999</v>
          </cell>
        </row>
        <row r="18">
          <cell r="H18">
            <v>142125</v>
          </cell>
        </row>
        <row r="19">
          <cell r="H19">
            <v>324580</v>
          </cell>
        </row>
        <row r="21">
          <cell r="H21">
            <v>2</v>
          </cell>
        </row>
        <row r="22">
          <cell r="H22">
            <v>38</v>
          </cell>
        </row>
        <row r="23">
          <cell r="H23">
            <v>2834</v>
          </cell>
        </row>
        <row r="24">
          <cell r="H24">
            <v>30.527999999999999</v>
          </cell>
        </row>
        <row r="25">
          <cell r="H25">
            <v>4062.9659999999999</v>
          </cell>
        </row>
        <row r="26">
          <cell r="H26">
            <v>5818.9299999999994</v>
          </cell>
        </row>
        <row r="28">
          <cell r="H28">
            <v>296622</v>
          </cell>
        </row>
        <row r="29">
          <cell r="H29">
            <v>419081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201</v>
          </cell>
        </row>
        <row r="44">
          <cell r="H44">
            <v>5188</v>
          </cell>
        </row>
        <row r="45">
          <cell r="H45">
            <v>6822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/>
      <sheetData sheetId="2" refreshError="1">
        <row r="8">
          <cell r="K8">
            <v>9104</v>
          </cell>
        </row>
        <row r="9">
          <cell r="K9">
            <v>17684</v>
          </cell>
        </row>
        <row r="10">
          <cell r="K10">
            <v>0</v>
          </cell>
        </row>
        <row r="12">
          <cell r="K12">
            <v>209535</v>
          </cell>
        </row>
        <row r="13">
          <cell r="K13">
            <v>436739</v>
          </cell>
        </row>
        <row r="15">
          <cell r="K15">
            <v>38</v>
          </cell>
        </row>
        <row r="16">
          <cell r="K16">
            <v>96</v>
          </cell>
        </row>
        <row r="18">
          <cell r="K18">
            <v>57095</v>
          </cell>
        </row>
        <row r="19">
          <cell r="K19">
            <v>87178</v>
          </cell>
        </row>
        <row r="21">
          <cell r="K21">
            <v>0</v>
          </cell>
        </row>
        <row r="22">
          <cell r="K22">
            <v>291</v>
          </cell>
        </row>
        <row r="23">
          <cell r="K23">
            <v>25558</v>
          </cell>
        </row>
        <row r="24">
          <cell r="K24">
            <v>293.51</v>
          </cell>
        </row>
        <row r="25">
          <cell r="K25">
            <v>345.71</v>
          </cell>
        </row>
        <row r="26">
          <cell r="K26">
            <v>302.59399999999999</v>
          </cell>
        </row>
        <row r="28">
          <cell r="K28">
            <v>30934</v>
          </cell>
        </row>
        <row r="29">
          <cell r="K29">
            <v>28628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5834</v>
          </cell>
        </row>
        <row r="35">
          <cell r="K35">
            <v>21566</v>
          </cell>
        </row>
        <row r="37">
          <cell r="K37">
            <v>7923</v>
          </cell>
        </row>
        <row r="38">
          <cell r="K38">
            <v>7750</v>
          </cell>
        </row>
        <row r="39">
          <cell r="K39">
            <v>1528442</v>
          </cell>
        </row>
        <row r="40">
          <cell r="K40">
            <v>1495068</v>
          </cell>
        </row>
        <row r="41">
          <cell r="K41">
            <v>4134.58</v>
          </cell>
        </row>
        <row r="42">
          <cell r="K42">
            <v>4044.7</v>
          </cell>
        </row>
        <row r="43">
          <cell r="K43">
            <v>73</v>
          </cell>
        </row>
        <row r="44">
          <cell r="K44">
            <v>1991</v>
          </cell>
        </row>
        <row r="45">
          <cell r="K45">
            <v>2470</v>
          </cell>
        </row>
        <row r="47">
          <cell r="K47">
            <v>55</v>
          </cell>
        </row>
        <row r="48">
          <cell r="K48">
            <v>38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6">
          <cell r="L6">
            <v>26187</v>
          </cell>
          <cell r="P6">
            <v>1593</v>
          </cell>
        </row>
        <row r="10">
          <cell r="L10">
            <v>9890</v>
          </cell>
          <cell r="P10">
            <v>598</v>
          </cell>
        </row>
        <row r="15">
          <cell r="L15">
            <v>19324</v>
          </cell>
          <cell r="P15">
            <v>863</v>
          </cell>
        </row>
        <row r="20">
          <cell r="L20">
            <v>48580</v>
          </cell>
          <cell r="P20">
            <v>2245</v>
          </cell>
        </row>
        <row r="26">
          <cell r="L26">
            <v>3655</v>
          </cell>
          <cell r="P26">
            <v>213</v>
          </cell>
        </row>
        <row r="32">
          <cell r="L32">
            <v>16949</v>
          </cell>
          <cell r="P32">
            <v>1042</v>
          </cell>
        </row>
        <row r="46">
          <cell r="L46">
            <v>269</v>
          </cell>
          <cell r="P46">
            <v>19</v>
          </cell>
        </row>
        <row r="48">
          <cell r="L48">
            <v>12926</v>
          </cell>
          <cell r="P48">
            <v>736</v>
          </cell>
        </row>
        <row r="58">
          <cell r="L58">
            <v>1290</v>
          </cell>
          <cell r="P58">
            <v>82</v>
          </cell>
        </row>
        <row r="63">
          <cell r="L63">
            <v>29040</v>
          </cell>
          <cell r="P63">
            <v>1848</v>
          </cell>
        </row>
        <row r="66">
          <cell r="L66">
            <v>53799</v>
          </cell>
          <cell r="P66">
            <v>3781</v>
          </cell>
        </row>
        <row r="69">
          <cell r="L69">
            <v>2361</v>
          </cell>
          <cell r="P69">
            <v>110</v>
          </cell>
        </row>
        <row r="73">
          <cell r="L73">
            <v>26773</v>
          </cell>
          <cell r="P73">
            <v>1701</v>
          </cell>
        </row>
        <row r="74">
          <cell r="L74">
            <v>6488</v>
          </cell>
          <cell r="P74">
            <v>298</v>
          </cell>
        </row>
        <row r="80">
          <cell r="L80">
            <v>105795</v>
          </cell>
          <cell r="P80">
            <v>5820</v>
          </cell>
        </row>
        <row r="83">
          <cell r="L83">
            <v>11959</v>
          </cell>
          <cell r="P83">
            <v>723</v>
          </cell>
        </row>
        <row r="90">
          <cell r="L90">
            <v>23129</v>
          </cell>
          <cell r="P90">
            <v>1770</v>
          </cell>
        </row>
        <row r="91">
          <cell r="L91">
            <v>69505</v>
          </cell>
          <cell r="P91">
            <v>4143</v>
          </cell>
        </row>
        <row r="93">
          <cell r="L93">
            <v>3092</v>
          </cell>
          <cell r="P93">
            <v>564</v>
          </cell>
        </row>
        <row r="98">
          <cell r="L98">
            <v>12702</v>
          </cell>
          <cell r="P98">
            <v>1025</v>
          </cell>
        </row>
        <row r="99">
          <cell r="L99">
            <v>17546</v>
          </cell>
          <cell r="P99">
            <v>1065</v>
          </cell>
        </row>
        <row r="101">
          <cell r="L101">
            <v>37613</v>
          </cell>
          <cell r="P101">
            <v>2145</v>
          </cell>
        </row>
        <row r="107">
          <cell r="L107">
            <v>66651</v>
          </cell>
          <cell r="P107">
            <v>4318</v>
          </cell>
        </row>
        <row r="108">
          <cell r="L108">
            <v>214892</v>
          </cell>
          <cell r="P108">
            <v>15520</v>
          </cell>
        </row>
        <row r="109">
          <cell r="L109">
            <v>264491</v>
          </cell>
          <cell r="P109">
            <v>17855</v>
          </cell>
        </row>
        <row r="110">
          <cell r="L110">
            <v>152311</v>
          </cell>
          <cell r="P110">
            <v>9557</v>
          </cell>
        </row>
        <row r="111">
          <cell r="L111">
            <v>69550</v>
          </cell>
          <cell r="P111">
            <v>3788</v>
          </cell>
        </row>
        <row r="113">
          <cell r="L113">
            <v>133476</v>
          </cell>
          <cell r="P113">
            <v>9665</v>
          </cell>
        </row>
        <row r="120">
          <cell r="L120">
            <v>41997</v>
          </cell>
          <cell r="P120">
            <v>2394</v>
          </cell>
        </row>
        <row r="123">
          <cell r="L123">
            <v>17775</v>
          </cell>
          <cell r="P123">
            <v>1662</v>
          </cell>
        </row>
        <row r="124">
          <cell r="L124">
            <v>136288</v>
          </cell>
          <cell r="P124">
            <v>7814</v>
          </cell>
        </row>
        <row r="127">
          <cell r="L127">
            <v>46705</v>
          </cell>
          <cell r="P127">
            <v>3886</v>
          </cell>
        </row>
        <row r="130">
          <cell r="L130">
            <v>317</v>
          </cell>
          <cell r="P130">
            <v>30</v>
          </cell>
        </row>
        <row r="131">
          <cell r="L131">
            <v>73919</v>
          </cell>
          <cell r="P131">
            <v>4210</v>
          </cell>
        </row>
        <row r="133">
          <cell r="L133">
            <v>17654</v>
          </cell>
          <cell r="P133">
            <v>1958</v>
          </cell>
        </row>
        <row r="135">
          <cell r="L135">
            <v>0</v>
          </cell>
          <cell r="P135">
            <v>0</v>
          </cell>
        </row>
        <row r="140">
          <cell r="L140">
            <v>12295</v>
          </cell>
          <cell r="P140">
            <v>1486</v>
          </cell>
        </row>
        <row r="141">
          <cell r="L141">
            <v>77383</v>
          </cell>
          <cell r="P141">
            <v>7071</v>
          </cell>
        </row>
        <row r="142">
          <cell r="L142">
            <v>101355</v>
          </cell>
          <cell r="P142">
            <v>6754</v>
          </cell>
        </row>
        <row r="144">
          <cell r="L144">
            <v>88956</v>
          </cell>
          <cell r="P144">
            <v>6023</v>
          </cell>
        </row>
        <row r="146">
          <cell r="L146">
            <v>12414</v>
          </cell>
          <cell r="P146">
            <v>1201</v>
          </cell>
        </row>
        <row r="148">
          <cell r="L148">
            <v>12311</v>
          </cell>
          <cell r="P148">
            <v>1091</v>
          </cell>
        </row>
        <row r="152">
          <cell r="L152">
            <v>13594</v>
          </cell>
          <cell r="P152">
            <v>1545</v>
          </cell>
        </row>
        <row r="153">
          <cell r="L153">
            <v>39089</v>
          </cell>
          <cell r="P153">
            <v>3149</v>
          </cell>
        </row>
        <row r="157">
          <cell r="L157">
            <v>23825</v>
          </cell>
          <cell r="P157">
            <v>1267</v>
          </cell>
        </row>
        <row r="159">
          <cell r="L159">
            <v>12914</v>
          </cell>
          <cell r="P159">
            <v>593</v>
          </cell>
        </row>
        <row r="161">
          <cell r="L161">
            <v>39579</v>
          </cell>
          <cell r="P161">
            <v>2294</v>
          </cell>
        </row>
        <row r="163">
          <cell r="L163">
            <v>21451</v>
          </cell>
          <cell r="P163">
            <v>992</v>
          </cell>
        </row>
        <row r="165">
          <cell r="L165">
            <v>7213</v>
          </cell>
          <cell r="P165">
            <v>331</v>
          </cell>
        </row>
        <row r="167">
          <cell r="L167">
            <v>40283</v>
          </cell>
          <cell r="P167">
            <v>2060</v>
          </cell>
        </row>
        <row r="170">
          <cell r="L170">
            <v>13643</v>
          </cell>
          <cell r="P170">
            <v>735</v>
          </cell>
        </row>
        <row r="172">
          <cell r="L172">
            <v>11110</v>
          </cell>
          <cell r="P172">
            <v>644</v>
          </cell>
        </row>
      </sheetData>
      <sheetData sheetId="2">
        <row r="8">
          <cell r="G8">
            <v>72450</v>
          </cell>
        </row>
        <row r="9">
          <cell r="G9">
            <v>73193</v>
          </cell>
        </row>
        <row r="10">
          <cell r="G10">
            <v>9120</v>
          </cell>
        </row>
        <row r="12">
          <cell r="G12">
            <v>1257734</v>
          </cell>
        </row>
        <row r="13">
          <cell r="G13">
            <v>1044579</v>
          </cell>
        </row>
        <row r="15">
          <cell r="G15">
            <v>227.17</v>
          </cell>
        </row>
        <row r="16">
          <cell r="G16">
            <v>1130.6099999999999</v>
          </cell>
        </row>
        <row r="18">
          <cell r="G18">
            <v>1143253</v>
          </cell>
        </row>
        <row r="19">
          <cell r="G19">
            <v>960018</v>
          </cell>
        </row>
        <row r="21">
          <cell r="G21">
            <v>173</v>
          </cell>
        </row>
        <row r="22">
          <cell r="G22">
            <v>66</v>
          </cell>
        </row>
        <row r="23">
          <cell r="G23">
            <v>22160</v>
          </cell>
        </row>
        <row r="24">
          <cell r="G24">
            <v>294</v>
          </cell>
        </row>
        <row r="25">
          <cell r="G25">
            <v>30885.66721</v>
          </cell>
        </row>
        <row r="26">
          <cell r="G26">
            <v>43360.259702000003</v>
          </cell>
        </row>
        <row r="28">
          <cell r="G28">
            <v>2052946</v>
          </cell>
        </row>
        <row r="29">
          <cell r="G29">
            <v>2532867</v>
          </cell>
        </row>
        <row r="31">
          <cell r="G31">
            <v>750007</v>
          </cell>
        </row>
        <row r="32">
          <cell r="G32">
            <v>1942916</v>
          </cell>
        </row>
        <row r="34">
          <cell r="G34">
            <v>1629043</v>
          </cell>
        </row>
        <row r="35">
          <cell r="G35">
            <v>2690972</v>
          </cell>
        </row>
        <row r="37">
          <cell r="G37">
            <v>28174</v>
          </cell>
        </row>
        <row r="38">
          <cell r="G38">
            <v>27280</v>
          </cell>
        </row>
        <row r="39">
          <cell r="G39">
            <v>1225536</v>
          </cell>
        </row>
        <row r="40">
          <cell r="G40">
            <v>1149367</v>
          </cell>
        </row>
        <row r="41">
          <cell r="G41">
            <v>6979.3723980000004</v>
          </cell>
        </row>
        <row r="42">
          <cell r="G42">
            <v>6267.8969619999998</v>
          </cell>
        </row>
        <row r="43">
          <cell r="G43">
            <v>545</v>
          </cell>
        </row>
        <row r="44">
          <cell r="G44">
            <v>9852</v>
          </cell>
        </row>
        <row r="45">
          <cell r="G45">
            <v>10537</v>
          </cell>
        </row>
        <row r="47">
          <cell r="G47">
            <v>22888</v>
          </cell>
        </row>
        <row r="48">
          <cell r="G48">
            <v>2494</v>
          </cell>
        </row>
        <row r="50">
          <cell r="G50">
            <v>3153</v>
          </cell>
        </row>
        <row r="51">
          <cell r="G51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9708</v>
          </cell>
          <cell r="P17">
            <v>577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34100</v>
          </cell>
          <cell r="P22">
            <v>2060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2588</v>
          </cell>
          <cell r="P27">
            <v>134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21575</v>
          </cell>
          <cell r="P38">
            <v>1257</v>
          </cell>
        </row>
      </sheetData>
      <sheetData sheetId="2">
        <row r="8">
          <cell r="E8">
            <v>3471</v>
          </cell>
        </row>
        <row r="9">
          <cell r="E9">
            <v>7956</v>
          </cell>
        </row>
        <row r="10">
          <cell r="E10">
            <v>54</v>
          </cell>
        </row>
        <row r="12">
          <cell r="E12">
            <v>57821</v>
          </cell>
        </row>
        <row r="13">
          <cell r="E13">
            <v>131003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47681</v>
          </cell>
        </row>
        <row r="19">
          <cell r="E19">
            <v>112479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1295</v>
          </cell>
        </row>
        <row r="38">
          <cell r="E38">
            <v>1056</v>
          </cell>
        </row>
        <row r="39">
          <cell r="E39">
            <v>71525</v>
          </cell>
        </row>
        <row r="40">
          <cell r="E40">
            <v>59225</v>
          </cell>
        </row>
        <row r="41">
          <cell r="E41">
            <v>641</v>
          </cell>
        </row>
        <row r="42">
          <cell r="E42">
            <v>525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43">
          <cell r="E43">
            <v>51</v>
          </cell>
          <cell r="I43">
            <v>189</v>
          </cell>
          <cell r="L43">
            <v>48996</v>
          </cell>
          <cell r="P43">
            <v>1650</v>
          </cell>
        </row>
        <row r="45">
          <cell r="E45">
            <v>20</v>
          </cell>
          <cell r="I45">
            <v>104</v>
          </cell>
          <cell r="L45">
            <v>36596</v>
          </cell>
          <cell r="P45">
            <v>1502</v>
          </cell>
        </row>
        <row r="47">
          <cell r="E47">
            <v>21</v>
          </cell>
          <cell r="I47">
            <v>54</v>
          </cell>
          <cell r="L47">
            <v>7822</v>
          </cell>
          <cell r="P47">
            <v>339</v>
          </cell>
        </row>
        <row r="49">
          <cell r="E49">
            <v>37</v>
          </cell>
          <cell r="I49">
            <v>68</v>
          </cell>
          <cell r="L49">
            <v>37933</v>
          </cell>
          <cell r="P49">
            <v>1577</v>
          </cell>
        </row>
        <row r="51">
          <cell r="E51">
            <v>24</v>
          </cell>
          <cell r="I51">
            <v>523</v>
          </cell>
          <cell r="L51">
            <v>25233</v>
          </cell>
          <cell r="P51">
            <v>805</v>
          </cell>
        </row>
        <row r="52">
          <cell r="E52">
            <v>21</v>
          </cell>
          <cell r="I52">
            <v>259</v>
          </cell>
          <cell r="L52">
            <v>29231</v>
          </cell>
          <cell r="P52">
            <v>1482</v>
          </cell>
        </row>
        <row r="53">
          <cell r="E53">
            <v>0</v>
          </cell>
          <cell r="I53">
            <v>0</v>
          </cell>
          <cell r="L53">
            <v>9820</v>
          </cell>
          <cell r="P53">
            <v>439</v>
          </cell>
        </row>
        <row r="54">
          <cell r="E54">
            <v>0</v>
          </cell>
          <cell r="I54">
            <v>0</v>
          </cell>
          <cell r="L54">
            <v>1125</v>
          </cell>
          <cell r="P54">
            <v>47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</row>
        <row r="57">
          <cell r="E57">
            <v>45</v>
          </cell>
          <cell r="I57">
            <v>157</v>
          </cell>
          <cell r="L57">
            <v>41322</v>
          </cell>
          <cell r="P57">
            <v>1331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</row>
        <row r="61">
          <cell r="E61">
            <v>38</v>
          </cell>
          <cell r="I61">
            <v>132</v>
          </cell>
          <cell r="L61">
            <v>35642</v>
          </cell>
          <cell r="P61">
            <v>2301</v>
          </cell>
        </row>
        <row r="64">
          <cell r="E64">
            <v>12</v>
          </cell>
          <cell r="I64">
            <v>30</v>
          </cell>
          <cell r="L64">
            <v>4700</v>
          </cell>
          <cell r="P64">
            <v>177</v>
          </cell>
        </row>
        <row r="65">
          <cell r="E65">
            <v>55</v>
          </cell>
          <cell r="I65">
            <v>390</v>
          </cell>
          <cell r="L65">
            <v>109246</v>
          </cell>
          <cell r="P65">
            <v>3836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</row>
        <row r="68">
          <cell r="E68">
            <v>10</v>
          </cell>
          <cell r="I68">
            <v>33</v>
          </cell>
          <cell r="L68">
            <v>18465</v>
          </cell>
          <cell r="P68">
            <v>776</v>
          </cell>
        </row>
        <row r="70">
          <cell r="E70">
            <v>17</v>
          </cell>
          <cell r="I70">
            <v>55</v>
          </cell>
          <cell r="L70">
            <v>16241</v>
          </cell>
          <cell r="P70">
            <v>769</v>
          </cell>
        </row>
        <row r="71">
          <cell r="E71">
            <v>20</v>
          </cell>
          <cell r="I71">
            <v>62</v>
          </cell>
          <cell r="L71">
            <v>27231</v>
          </cell>
          <cell r="P71">
            <v>1610</v>
          </cell>
        </row>
        <row r="75">
          <cell r="E75">
            <v>60</v>
          </cell>
          <cell r="I75">
            <v>100</v>
          </cell>
          <cell r="L75">
            <v>22378</v>
          </cell>
          <cell r="P75">
            <v>928</v>
          </cell>
        </row>
        <row r="186">
          <cell r="E186">
            <v>0</v>
          </cell>
          <cell r="I186">
            <v>0</v>
          </cell>
          <cell r="L186">
            <v>254</v>
          </cell>
          <cell r="P186">
            <v>10</v>
          </cell>
        </row>
        <row r="188">
          <cell r="E188">
            <v>3</v>
          </cell>
          <cell r="I188">
            <v>0</v>
          </cell>
          <cell r="L188">
            <v>4668</v>
          </cell>
          <cell r="P188">
            <v>143</v>
          </cell>
        </row>
        <row r="189">
          <cell r="E189">
            <v>0</v>
          </cell>
          <cell r="I189">
            <v>0</v>
          </cell>
          <cell r="L189">
            <v>539</v>
          </cell>
          <cell r="P189">
            <v>20</v>
          </cell>
        </row>
        <row r="192">
          <cell r="E192">
            <v>0</v>
          </cell>
          <cell r="I192">
            <v>0</v>
          </cell>
          <cell r="L192">
            <v>248</v>
          </cell>
          <cell r="P192">
            <v>13</v>
          </cell>
        </row>
        <row r="197">
          <cell r="E197">
            <v>3</v>
          </cell>
          <cell r="I197">
            <v>0</v>
          </cell>
          <cell r="L197">
            <v>1738</v>
          </cell>
          <cell r="P197">
            <v>116</v>
          </cell>
        </row>
      </sheetData>
      <sheetData sheetId="2">
        <row r="7">
          <cell r="K7">
            <v>72</v>
          </cell>
        </row>
        <row r="8">
          <cell r="K8">
            <v>9159</v>
          </cell>
        </row>
        <row r="9">
          <cell r="K9">
            <v>18181</v>
          </cell>
        </row>
        <row r="10">
          <cell r="K10">
            <v>0</v>
          </cell>
        </row>
        <row r="12">
          <cell r="K12">
            <v>209429</v>
          </cell>
        </row>
        <row r="13">
          <cell r="K13">
            <v>446103</v>
          </cell>
        </row>
        <row r="15">
          <cell r="K15">
            <v>38</v>
          </cell>
        </row>
        <row r="16">
          <cell r="K16">
            <v>96</v>
          </cell>
        </row>
        <row r="18">
          <cell r="K18">
            <v>57095</v>
          </cell>
        </row>
        <row r="19">
          <cell r="K19">
            <v>87178</v>
          </cell>
        </row>
        <row r="21">
          <cell r="K21">
            <v>0</v>
          </cell>
        </row>
        <row r="22">
          <cell r="K22">
            <v>291</v>
          </cell>
        </row>
        <row r="23">
          <cell r="K23">
            <v>28042</v>
          </cell>
        </row>
        <row r="24">
          <cell r="K24">
            <v>322.42</v>
          </cell>
        </row>
        <row r="25">
          <cell r="K25">
            <v>357.05500000000001</v>
          </cell>
        </row>
        <row r="26">
          <cell r="K26">
            <v>303.84899999999999</v>
          </cell>
        </row>
        <row r="28">
          <cell r="K28">
            <v>31772</v>
          </cell>
        </row>
        <row r="29">
          <cell r="K29">
            <v>28711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5834</v>
          </cell>
        </row>
        <row r="35">
          <cell r="K35">
            <v>21566</v>
          </cell>
        </row>
        <row r="37">
          <cell r="K37">
            <v>7923</v>
          </cell>
        </row>
        <row r="38">
          <cell r="K38">
            <v>7750</v>
          </cell>
        </row>
        <row r="39">
          <cell r="K39">
            <v>1528442</v>
          </cell>
        </row>
        <row r="40">
          <cell r="K40">
            <v>1495068</v>
          </cell>
        </row>
        <row r="41">
          <cell r="K41">
            <v>4134.58</v>
          </cell>
        </row>
        <row r="42">
          <cell r="K42">
            <v>4044.7</v>
          </cell>
        </row>
        <row r="43">
          <cell r="K43">
            <v>73</v>
          </cell>
        </row>
        <row r="44">
          <cell r="K44">
            <v>1991</v>
          </cell>
        </row>
        <row r="45">
          <cell r="K45">
            <v>2470</v>
          </cell>
        </row>
        <row r="47">
          <cell r="K47">
            <v>55</v>
          </cell>
        </row>
        <row r="48">
          <cell r="K48">
            <v>38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>
        <row r="50">
          <cell r="D50">
            <v>24</v>
          </cell>
          <cell r="H50">
            <v>378</v>
          </cell>
          <cell r="L50">
            <v>34914</v>
          </cell>
          <cell r="P50">
            <v>1680</v>
          </cell>
        </row>
        <row r="174">
          <cell r="E174">
            <v>8</v>
          </cell>
          <cell r="I174">
            <v>44</v>
          </cell>
          <cell r="L174">
            <v>6444</v>
          </cell>
          <cell r="P174">
            <v>333</v>
          </cell>
        </row>
        <row r="176">
          <cell r="E176">
            <v>14</v>
          </cell>
          <cell r="I176">
            <v>56</v>
          </cell>
          <cell r="L176">
            <v>10401</v>
          </cell>
          <cell r="P176">
            <v>469</v>
          </cell>
        </row>
        <row r="177">
          <cell r="E177">
            <v>16</v>
          </cell>
          <cell r="I177">
            <v>80</v>
          </cell>
          <cell r="L177">
            <v>12420</v>
          </cell>
          <cell r="P177">
            <v>548</v>
          </cell>
        </row>
        <row r="178">
          <cell r="E178">
            <v>10</v>
          </cell>
          <cell r="I178">
            <v>56</v>
          </cell>
          <cell r="L178">
            <v>10924</v>
          </cell>
          <cell r="P178">
            <v>434</v>
          </cell>
        </row>
        <row r="179">
          <cell r="E179">
            <v>15</v>
          </cell>
          <cell r="I179">
            <v>83</v>
          </cell>
          <cell r="L179">
            <v>11965</v>
          </cell>
          <cell r="P179">
            <v>507</v>
          </cell>
        </row>
        <row r="180">
          <cell r="E180">
            <v>31</v>
          </cell>
          <cell r="I180">
            <v>167</v>
          </cell>
          <cell r="L180">
            <v>23627</v>
          </cell>
          <cell r="P180">
            <v>1093</v>
          </cell>
        </row>
      </sheetData>
      <sheetData sheetId="2" refreshError="1">
        <row r="8">
          <cell r="D8">
            <v>2171</v>
          </cell>
        </row>
        <row r="9">
          <cell r="D9">
            <v>2893</v>
          </cell>
        </row>
        <row r="10">
          <cell r="D10">
            <v>0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47">
          <cell r="D47">
            <v>0</v>
          </cell>
        </row>
        <row r="48">
          <cell r="D48">
            <v>0</v>
          </cell>
        </row>
        <row r="50">
          <cell r="D50">
            <v>1243</v>
          </cell>
        </row>
        <row r="51">
          <cell r="D51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56">
          <cell r="I56">
            <v>22</v>
          </cell>
        </row>
        <row r="71">
          <cell r="I71">
            <v>23</v>
          </cell>
        </row>
        <row r="105">
          <cell r="I105">
            <v>69</v>
          </cell>
        </row>
      </sheetData>
      <sheetData sheetId="2">
        <row r="8">
          <cell r="F8">
            <v>1641</v>
          </cell>
        </row>
        <row r="9">
          <cell r="F9">
            <v>1342</v>
          </cell>
        </row>
        <row r="10">
          <cell r="F10">
            <v>0</v>
          </cell>
        </row>
        <row r="12">
          <cell r="F12">
            <v>27448</v>
          </cell>
        </row>
        <row r="13">
          <cell r="F13">
            <v>25070</v>
          </cell>
        </row>
        <row r="15">
          <cell r="F15">
            <v>4.2</v>
          </cell>
        </row>
        <row r="16">
          <cell r="F16">
            <v>5.0599999999999996</v>
          </cell>
        </row>
        <row r="18">
          <cell r="F18">
            <v>11579</v>
          </cell>
        </row>
        <row r="19">
          <cell r="F19">
            <v>3976</v>
          </cell>
        </row>
        <row r="21">
          <cell r="F21">
            <v>2</v>
          </cell>
        </row>
        <row r="22">
          <cell r="F22">
            <v>5</v>
          </cell>
        </row>
        <row r="23">
          <cell r="F23">
            <v>36</v>
          </cell>
        </row>
        <row r="24">
          <cell r="F24">
            <v>1.1200000000000001</v>
          </cell>
        </row>
        <row r="25">
          <cell r="F25">
            <v>320</v>
          </cell>
        </row>
        <row r="26">
          <cell r="F26">
            <v>79</v>
          </cell>
        </row>
        <row r="28">
          <cell r="F28">
            <v>21383</v>
          </cell>
        </row>
        <row r="29">
          <cell r="F29">
            <v>5603</v>
          </cell>
        </row>
        <row r="31">
          <cell r="F31">
            <v>18099</v>
          </cell>
        </row>
        <row r="32">
          <cell r="F32">
            <v>6593</v>
          </cell>
        </row>
        <row r="34">
          <cell r="F34">
            <v>18099</v>
          </cell>
        </row>
        <row r="35">
          <cell r="F35">
            <v>6593</v>
          </cell>
        </row>
        <row r="37">
          <cell r="F37">
            <v>534</v>
          </cell>
        </row>
        <row r="38">
          <cell r="F38">
            <v>534</v>
          </cell>
        </row>
        <row r="39">
          <cell r="F39">
            <v>20861</v>
          </cell>
        </row>
        <row r="40">
          <cell r="F40">
            <v>20861</v>
          </cell>
        </row>
        <row r="41">
          <cell r="F41">
            <v>161</v>
          </cell>
        </row>
        <row r="42">
          <cell r="F42">
            <v>161</v>
          </cell>
        </row>
        <row r="43">
          <cell r="F43">
            <v>12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56">
          <cell r="L56">
            <v>7591</v>
          </cell>
          <cell r="P56">
            <v>733</v>
          </cell>
        </row>
        <row r="72">
          <cell r="P72">
            <v>698</v>
          </cell>
        </row>
        <row r="106">
          <cell r="L106">
            <v>19429</v>
          </cell>
          <cell r="P106">
            <v>1611</v>
          </cell>
        </row>
      </sheetData>
      <sheetData sheetId="2">
        <row r="7">
          <cell r="F7">
            <v>10</v>
          </cell>
        </row>
        <row r="8">
          <cell r="F8">
            <v>1659</v>
          </cell>
        </row>
        <row r="9">
          <cell r="F9">
            <v>1383</v>
          </cell>
        </row>
        <row r="10">
          <cell r="F10">
            <v>0</v>
          </cell>
        </row>
        <row r="12">
          <cell r="F12">
            <v>27717</v>
          </cell>
        </row>
        <row r="13">
          <cell r="F13">
            <v>25687</v>
          </cell>
        </row>
        <row r="15">
          <cell r="F15">
            <v>4278093</v>
          </cell>
        </row>
        <row r="16">
          <cell r="F16">
            <v>5155192</v>
          </cell>
        </row>
        <row r="18">
          <cell r="F18">
            <v>11870</v>
          </cell>
        </row>
        <row r="19">
          <cell r="F19">
            <v>4035</v>
          </cell>
        </row>
        <row r="21">
          <cell r="F21">
            <v>2</v>
          </cell>
        </row>
        <row r="22">
          <cell r="F22">
            <v>5</v>
          </cell>
        </row>
        <row r="23">
          <cell r="F23">
            <v>36</v>
          </cell>
        </row>
        <row r="24">
          <cell r="F24">
            <v>1</v>
          </cell>
        </row>
        <row r="25">
          <cell r="F25">
            <v>81.489999999999995</v>
          </cell>
        </row>
        <row r="26">
          <cell r="F26">
            <v>344.49</v>
          </cell>
        </row>
        <row r="28">
          <cell r="F28">
            <v>22875</v>
          </cell>
        </row>
        <row r="29">
          <cell r="F29">
            <v>5732</v>
          </cell>
        </row>
        <row r="31">
          <cell r="F31">
            <v>19686</v>
          </cell>
        </row>
        <row r="32">
          <cell r="F32">
            <v>6713</v>
          </cell>
        </row>
        <row r="34">
          <cell r="F34">
            <v>19686</v>
          </cell>
        </row>
        <row r="35">
          <cell r="F35">
            <v>6713</v>
          </cell>
        </row>
        <row r="37">
          <cell r="F37">
            <v>606</v>
          </cell>
        </row>
        <row r="38">
          <cell r="F38">
            <v>562</v>
          </cell>
        </row>
        <row r="39">
          <cell r="F39">
            <v>21951</v>
          </cell>
        </row>
        <row r="40">
          <cell r="F40">
            <v>20851</v>
          </cell>
        </row>
        <row r="41">
          <cell r="F41">
            <v>229</v>
          </cell>
        </row>
        <row r="42">
          <cell r="F42">
            <v>177.78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/>
      <sheetData sheetId="1">
        <row r="80">
          <cell r="E80">
            <v>30</v>
          </cell>
          <cell r="I80">
            <v>131</v>
          </cell>
        </row>
        <row r="84">
          <cell r="E84">
            <v>12</v>
          </cell>
          <cell r="I84">
            <v>78</v>
          </cell>
        </row>
        <row r="99">
          <cell r="E99">
            <v>44</v>
          </cell>
          <cell r="I99">
            <v>166</v>
          </cell>
        </row>
        <row r="101">
          <cell r="E101">
            <v>27</v>
          </cell>
          <cell r="I101">
            <v>186</v>
          </cell>
        </row>
      </sheetData>
      <sheetData sheetId="2">
        <row r="8">
          <cell r="L8">
            <v>8549</v>
          </cell>
        </row>
        <row r="9">
          <cell r="L9">
            <v>5698</v>
          </cell>
        </row>
        <row r="10">
          <cell r="L10">
            <v>1971</v>
          </cell>
        </row>
        <row r="12">
          <cell r="L12">
            <v>175958</v>
          </cell>
        </row>
        <row r="13">
          <cell r="L13">
            <v>138952</v>
          </cell>
        </row>
        <row r="15">
          <cell r="L15">
            <v>81.540000000000006</v>
          </cell>
        </row>
        <row r="16">
          <cell r="L16">
            <v>119.78</v>
          </cell>
        </row>
        <row r="18">
          <cell r="L18">
            <v>90761</v>
          </cell>
        </row>
        <row r="19">
          <cell r="L19">
            <v>90375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17101</v>
          </cell>
        </row>
        <row r="24">
          <cell r="L24">
            <v>228.29499999999999</v>
          </cell>
        </row>
        <row r="25">
          <cell r="L25">
            <v>2678.6390000000001</v>
          </cell>
        </row>
        <row r="26">
          <cell r="L26">
            <v>2698.7919999999999</v>
          </cell>
        </row>
        <row r="28">
          <cell r="L28">
            <v>205280</v>
          </cell>
        </row>
        <row r="29">
          <cell r="L29">
            <v>162444</v>
          </cell>
        </row>
        <row r="31">
          <cell r="L31">
            <v>85033</v>
          </cell>
        </row>
        <row r="32">
          <cell r="L32">
            <v>72063</v>
          </cell>
        </row>
        <row r="34">
          <cell r="L34">
            <v>95229</v>
          </cell>
        </row>
        <row r="35">
          <cell r="L35">
            <v>78828</v>
          </cell>
        </row>
        <row r="37">
          <cell r="L37">
            <v>57180</v>
          </cell>
        </row>
        <row r="38">
          <cell r="L38">
            <v>56745</v>
          </cell>
        </row>
        <row r="39">
          <cell r="L39">
            <v>386430</v>
          </cell>
        </row>
        <row r="40">
          <cell r="L40">
            <v>371034</v>
          </cell>
        </row>
        <row r="41">
          <cell r="L41">
            <v>890.5</v>
          </cell>
        </row>
        <row r="42">
          <cell r="L42">
            <v>868.8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81">
          <cell r="L81">
            <v>37116</v>
          </cell>
          <cell r="P81">
            <v>1545</v>
          </cell>
        </row>
        <row r="85">
          <cell r="L85">
            <v>26725</v>
          </cell>
          <cell r="P85">
            <v>554</v>
          </cell>
        </row>
        <row r="100">
          <cell r="L100">
            <v>159665</v>
          </cell>
          <cell r="P100">
            <v>11477</v>
          </cell>
        </row>
        <row r="102">
          <cell r="L102">
            <v>43042</v>
          </cell>
          <cell r="P102">
            <v>2659</v>
          </cell>
        </row>
      </sheetData>
      <sheetData sheetId="2">
        <row r="7">
          <cell r="L7">
            <v>22</v>
          </cell>
        </row>
        <row r="8">
          <cell r="L8">
            <v>8559</v>
          </cell>
        </row>
        <row r="9">
          <cell r="L9">
            <v>5718</v>
          </cell>
        </row>
        <row r="10">
          <cell r="L10">
            <v>1971</v>
          </cell>
        </row>
        <row r="12">
          <cell r="L12">
            <v>176158</v>
          </cell>
        </row>
        <row r="13">
          <cell r="L13">
            <v>139292</v>
          </cell>
        </row>
        <row r="15">
          <cell r="L15">
            <v>81.785210000000006</v>
          </cell>
        </row>
        <row r="16">
          <cell r="L16">
            <v>119.970775</v>
          </cell>
        </row>
        <row r="18">
          <cell r="L18">
            <v>94309</v>
          </cell>
        </row>
        <row r="19">
          <cell r="L19">
            <v>91274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17101</v>
          </cell>
        </row>
        <row r="24">
          <cell r="L24">
            <v>228.29499999999999</v>
          </cell>
        </row>
        <row r="25">
          <cell r="L25">
            <v>2833.1570000000002</v>
          </cell>
        </row>
        <row r="26">
          <cell r="L26">
            <v>2812.393</v>
          </cell>
        </row>
        <row r="28">
          <cell r="L28">
            <v>215919</v>
          </cell>
        </row>
        <row r="29">
          <cell r="L29">
            <v>168479</v>
          </cell>
        </row>
        <row r="31">
          <cell r="L31">
            <v>85962</v>
          </cell>
        </row>
        <row r="32">
          <cell r="L32">
            <v>72468</v>
          </cell>
        </row>
        <row r="34">
          <cell r="L34">
            <v>86763</v>
          </cell>
        </row>
        <row r="35">
          <cell r="L35">
            <v>72943</v>
          </cell>
        </row>
        <row r="37">
          <cell r="L37">
            <v>58387</v>
          </cell>
        </row>
        <row r="38">
          <cell r="L38">
            <v>57251</v>
          </cell>
        </row>
        <row r="39">
          <cell r="L39">
            <v>388140</v>
          </cell>
        </row>
        <row r="40">
          <cell r="L40">
            <v>371924</v>
          </cell>
        </row>
        <row r="41">
          <cell r="L41">
            <v>904.45</v>
          </cell>
        </row>
        <row r="42">
          <cell r="L42">
            <v>878.99300000000005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33" zoomScale="90" zoomScaleNormal="90" workbookViewId="0">
      <selection activeCell="D51" sqref="D51"/>
    </sheetView>
  </sheetViews>
  <sheetFormatPr defaultRowHeight="12.75" x14ac:dyDescent="0.2"/>
  <cols>
    <col min="1" max="1" width="52.42578125" bestFit="1" customWidth="1"/>
    <col min="2" max="2" width="35" bestFit="1" customWidth="1"/>
    <col min="3" max="3" width="29.5703125" customWidth="1"/>
    <col min="4" max="4" width="33.5703125" bestFit="1" customWidth="1"/>
  </cols>
  <sheetData>
    <row r="2" spans="1:3" ht="13.5" thickBot="1" x14ac:dyDescent="0.25"/>
    <row r="3" spans="1:3" x14ac:dyDescent="0.2">
      <c r="A3" s="98" t="s">
        <v>216</v>
      </c>
      <c r="B3" s="125" t="str">
        <f>'[1]1.RSP Districts '!P212</f>
        <v>Number of total districts/areas in the province/area</v>
      </c>
      <c r="C3" s="125" t="str">
        <f>'[1]1.RSP Districts '!A212</f>
        <v xml:space="preserve">Number of districts/areas having RSPs presence  </v>
      </c>
    </row>
    <row r="4" spans="1:3" x14ac:dyDescent="0.2">
      <c r="A4" s="33" t="s">
        <v>173</v>
      </c>
      <c r="B4" s="125">
        <f>'1.RSP Districts '!R220</f>
        <v>30</v>
      </c>
      <c r="C4" s="125">
        <f>'1.RSP Districts '!A220</f>
        <v>19</v>
      </c>
    </row>
    <row r="5" spans="1:3" x14ac:dyDescent="0.2">
      <c r="A5" s="33" t="s">
        <v>228</v>
      </c>
      <c r="B5" s="125">
        <f>'1.RSP Districts '!R221</f>
        <v>24</v>
      </c>
      <c r="C5" s="125">
        <f>'1.RSP Districts '!A221</f>
        <v>22</v>
      </c>
    </row>
    <row r="6" spans="1:3" x14ac:dyDescent="0.2">
      <c r="A6" s="33" t="s">
        <v>174</v>
      </c>
      <c r="B6" s="125">
        <f>'1.RSP Districts '!R222</f>
        <v>23</v>
      </c>
      <c r="C6" s="125">
        <f>'1.RSP Districts '!A222</f>
        <v>22</v>
      </c>
    </row>
    <row r="7" spans="1:3" x14ac:dyDescent="0.2">
      <c r="A7" s="33" t="s">
        <v>253</v>
      </c>
      <c r="B7" s="125">
        <f>'1.RSP Districts '!R223+'1.RSP Districts '!R219</f>
        <v>37</v>
      </c>
      <c r="C7" s="125">
        <f>'1.RSP Districts '!A223+'1.RSP Districts '!A219</f>
        <v>35</v>
      </c>
    </row>
    <row r="8" spans="1:3" x14ac:dyDescent="0.2">
      <c r="A8" s="33" t="s">
        <v>229</v>
      </c>
      <c r="B8" s="125">
        <f>'1.RSP Districts '!R224</f>
        <v>10</v>
      </c>
      <c r="C8" s="125">
        <f>'1.RSP Districts '!A224</f>
        <v>10</v>
      </c>
    </row>
    <row r="9" spans="1:3" x14ac:dyDescent="0.2">
      <c r="A9" s="33" t="s">
        <v>230</v>
      </c>
      <c r="B9" s="125">
        <f>'1.RSP Districts '!R225</f>
        <v>7</v>
      </c>
      <c r="C9" s="125">
        <f>'1.RSP Districts '!A225</f>
        <v>6</v>
      </c>
    </row>
    <row r="10" spans="1:3" x14ac:dyDescent="0.2">
      <c r="A10" s="33" t="s">
        <v>231</v>
      </c>
      <c r="B10" s="125">
        <f>'1.RSP Districts '!R226</f>
        <v>13</v>
      </c>
      <c r="C10" s="125">
        <f>'1.RSP Districts '!A226</f>
        <v>5</v>
      </c>
    </row>
    <row r="11" spans="1:3" x14ac:dyDescent="0.2">
      <c r="A11" s="126" t="s">
        <v>254</v>
      </c>
      <c r="B11">
        <f>SUM(B4:B10)</f>
        <v>144</v>
      </c>
      <c r="C11">
        <f>SUM(C4:C10)</f>
        <v>119</v>
      </c>
    </row>
    <row r="15" spans="1:3" x14ac:dyDescent="0.2">
      <c r="A15" s="125" t="s">
        <v>216</v>
      </c>
      <c r="B15" s="125" t="s">
        <v>255</v>
      </c>
      <c r="C15" s="125" t="s">
        <v>256</v>
      </c>
    </row>
    <row r="16" spans="1:3" x14ac:dyDescent="0.2">
      <c r="A16" s="125" t="s">
        <v>173</v>
      </c>
      <c r="B16" s="125">
        <f>'1.RSP Districts '!C220</f>
        <v>547</v>
      </c>
      <c r="C16" s="125">
        <f>'1.RSP Districts '!E220</f>
        <v>279</v>
      </c>
    </row>
    <row r="17" spans="1:4" x14ac:dyDescent="0.2">
      <c r="A17" s="125" t="s">
        <v>228</v>
      </c>
      <c r="B17" s="125">
        <f>'1.RSP Districts '!C221</f>
        <v>961</v>
      </c>
      <c r="C17" s="125">
        <f>'1.RSP Districts '!E221</f>
        <v>518</v>
      </c>
    </row>
    <row r="18" spans="1:4" x14ac:dyDescent="0.2">
      <c r="A18" s="125" t="s">
        <v>174</v>
      </c>
      <c r="B18" s="125">
        <f>'1.RSP Districts '!C222</f>
        <v>921</v>
      </c>
      <c r="C18" s="125">
        <f>'1.RSP Districts '!E222</f>
        <v>690</v>
      </c>
    </row>
    <row r="19" spans="1:4" x14ac:dyDescent="0.2">
      <c r="A19" s="125" t="s">
        <v>253</v>
      </c>
      <c r="B19" s="125">
        <f>'1.RSP Districts '!C223+'1.RSP Districts '!C219</f>
        <v>2647</v>
      </c>
      <c r="C19" s="125">
        <f>'1.RSP Districts '!E223+'1.RSP Districts '!E219</f>
        <v>1783</v>
      </c>
    </row>
    <row r="20" spans="1:4" x14ac:dyDescent="0.2">
      <c r="A20" s="125" t="s">
        <v>229</v>
      </c>
      <c r="B20" s="125">
        <f>'1.RSP Districts '!C224</f>
        <v>196</v>
      </c>
      <c r="C20" s="125">
        <f>'1.RSP Districts '!E224</f>
        <v>179</v>
      </c>
    </row>
    <row r="21" spans="1:4" x14ac:dyDescent="0.2">
      <c r="A21" s="125" t="s">
        <v>230</v>
      </c>
      <c r="B21" s="125">
        <f>'1.RSP Districts '!C225</f>
        <v>103</v>
      </c>
      <c r="C21" s="125">
        <f>'1.RSP Districts '!E225</f>
        <v>94</v>
      </c>
    </row>
    <row r="22" spans="1:4" x14ac:dyDescent="0.2">
      <c r="A22" s="125" t="s">
        <v>231</v>
      </c>
      <c r="B22" s="125">
        <f>'1.RSP Districts '!C226</f>
        <v>190</v>
      </c>
      <c r="C22" s="125">
        <f>'1.RSP Districts '!E226</f>
        <v>6</v>
      </c>
    </row>
    <row r="23" spans="1:4" x14ac:dyDescent="0.2">
      <c r="A23" s="125" t="s">
        <v>218</v>
      </c>
      <c r="B23" s="125">
        <f>SUM(B16:B22)</f>
        <v>5565</v>
      </c>
      <c r="C23" s="125">
        <f>SUM(C16:C22)</f>
        <v>3549</v>
      </c>
    </row>
    <row r="24" spans="1:4" ht="13.5" thickBot="1" x14ac:dyDescent="0.25">
      <c r="C24" s="127">
        <f>C23/B23%</f>
        <v>63.773584905660378</v>
      </c>
    </row>
    <row r="25" spans="1:4" x14ac:dyDescent="0.2">
      <c r="B25" s="128"/>
    </row>
    <row r="26" spans="1:4" x14ac:dyDescent="0.2">
      <c r="B26" s="129"/>
    </row>
    <row r="27" spans="1:4" ht="12.75" customHeight="1" x14ac:dyDescent="0.2">
      <c r="A27" s="130" t="s">
        <v>216</v>
      </c>
      <c r="B27" s="125" t="s">
        <v>272</v>
      </c>
      <c r="C27" s="125" t="s">
        <v>257</v>
      </c>
      <c r="D27" s="125" t="s">
        <v>271</v>
      </c>
    </row>
    <row r="28" spans="1:4" x14ac:dyDescent="0.2">
      <c r="A28" s="33" t="s">
        <v>173</v>
      </c>
      <c r="B28" s="131">
        <f t="shared" ref="B28:B35" si="0">D28/C28%</f>
        <v>35.276980462815239</v>
      </c>
      <c r="C28" s="132">
        <f>'1.RSP Districts '!J220</f>
        <v>814191</v>
      </c>
      <c r="D28" s="132">
        <f>'1.RSP Districts '!L220</f>
        <v>287222</v>
      </c>
    </row>
    <row r="29" spans="1:4" x14ac:dyDescent="0.2">
      <c r="A29" s="33" t="s">
        <v>228</v>
      </c>
      <c r="B29" s="131">
        <f t="shared" si="0"/>
        <v>44.044300662890812</v>
      </c>
      <c r="C29" s="132">
        <f>'1.RSP Districts '!J221</f>
        <v>1889904</v>
      </c>
      <c r="D29" s="132">
        <f>'1.RSP Districts '!L221</f>
        <v>832395</v>
      </c>
    </row>
    <row r="30" spans="1:4" x14ac:dyDescent="0.2">
      <c r="A30" s="33" t="s">
        <v>174</v>
      </c>
      <c r="B30" s="131">
        <f t="shared" si="0"/>
        <v>41.042163982047143</v>
      </c>
      <c r="C30" s="132">
        <f>'1.RSP Districts '!J222</f>
        <v>2816903.1255411254</v>
      </c>
      <c r="D30" s="132">
        <f>'1.RSP Districts '!L222</f>
        <v>1156118</v>
      </c>
    </row>
    <row r="31" spans="1:4" x14ac:dyDescent="0.2">
      <c r="A31" s="33" t="s">
        <v>253</v>
      </c>
      <c r="B31" s="131">
        <f t="shared" si="0"/>
        <v>46.057823140622233</v>
      </c>
      <c r="C31" s="132">
        <f>'1.RSP Districts '!J223+'1.RSP Districts '!J219</f>
        <v>6107707.2431565113</v>
      </c>
      <c r="D31" s="132">
        <f>'1.RSP Districts '!L223+'1.RSP Districts '!L219</f>
        <v>2813077</v>
      </c>
    </row>
    <row r="32" spans="1:4" x14ac:dyDescent="0.2">
      <c r="A32" s="33" t="s">
        <v>229</v>
      </c>
      <c r="B32" s="131">
        <f t="shared" si="0"/>
        <v>68.260329794100642</v>
      </c>
      <c r="C32" s="132">
        <f>'1.RSP Districts '!J224</f>
        <v>398969.65165781637</v>
      </c>
      <c r="D32" s="132">
        <f>'1.RSP Districts '!L224</f>
        <v>272338</v>
      </c>
    </row>
    <row r="33" spans="1:4" x14ac:dyDescent="0.2">
      <c r="A33" s="33" t="s">
        <v>230</v>
      </c>
      <c r="B33" s="131">
        <f t="shared" si="0"/>
        <v>69.747920669136846</v>
      </c>
      <c r="C33" s="132">
        <f>'1.RSP Districts '!J225</f>
        <v>108649.83396348439</v>
      </c>
      <c r="D33" s="132">
        <f>'1.RSP Districts '!L225</f>
        <v>75781</v>
      </c>
    </row>
    <row r="34" spans="1:4" x14ac:dyDescent="0.2">
      <c r="A34" s="33" t="s">
        <v>231</v>
      </c>
      <c r="B34" s="131">
        <f t="shared" si="0"/>
        <v>2.1670324653943447</v>
      </c>
      <c r="C34" s="132">
        <f>'1.RSP Districts '!J226</f>
        <v>343649.6738707067</v>
      </c>
      <c r="D34" s="132">
        <f>'1.RSP Districts '!L226</f>
        <v>7447</v>
      </c>
    </row>
    <row r="35" spans="1:4" x14ac:dyDescent="0.2">
      <c r="A35" s="133" t="s">
        <v>17</v>
      </c>
      <c r="B35" s="131">
        <f t="shared" si="0"/>
        <v>43.62491275685133</v>
      </c>
      <c r="C35" s="132">
        <f>SUM(C28:C34)</f>
        <v>12479974.528189642</v>
      </c>
      <c r="D35" s="132">
        <f>SUM(D28:D34)</f>
        <v>5444378</v>
      </c>
    </row>
    <row r="36" spans="1:4" x14ac:dyDescent="0.2">
      <c r="D36" s="100">
        <f>D35*6.5</f>
        <v>35388457</v>
      </c>
    </row>
    <row r="37" spans="1:4" x14ac:dyDescent="0.2">
      <c r="D37" s="164">
        <f>D36/1000000</f>
        <v>35.388457000000002</v>
      </c>
    </row>
  </sheetData>
  <phoneticPr fontId="3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58"/>
  <sheetViews>
    <sheetView view="pageBreakPreview" zoomScale="73" zoomScaleNormal="87" zoomScaleSheetLayoutView="73" workbookViewId="0">
      <pane xSplit="2" ySplit="3" topLeftCell="C213" activePane="bottomRight" state="frozen"/>
      <selection activeCell="G51" sqref="G51"/>
      <selection pane="topRight" activeCell="G51" sqref="G51"/>
      <selection pane="bottomLeft" activeCell="G51" sqref="G51"/>
      <selection pane="bottomRight" activeCell="C231" sqref="C231"/>
    </sheetView>
  </sheetViews>
  <sheetFormatPr defaultRowHeight="15" x14ac:dyDescent="0.2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42" customWidth="1"/>
    <col min="10" max="10" width="20.85546875" style="12" customWidth="1"/>
    <col min="11" max="14" width="15.5703125" style="10" customWidth="1"/>
    <col min="15" max="17" width="15.5703125" style="12" customWidth="1"/>
    <col min="18" max="18" width="13" style="3" bestFit="1" customWidth="1"/>
    <col min="19" max="16384" width="9.140625" style="1"/>
  </cols>
  <sheetData>
    <row r="1" spans="1:19" thickBot="1" x14ac:dyDescent="0.25">
      <c r="A1" s="233" t="s">
        <v>278</v>
      </c>
      <c r="B1" s="233"/>
      <c r="C1" s="233"/>
      <c r="D1" s="233"/>
      <c r="E1" s="233"/>
      <c r="F1" s="233"/>
      <c r="G1" s="233"/>
      <c r="H1" s="234"/>
      <c r="I1" s="234"/>
      <c r="J1" s="233"/>
      <c r="K1" s="233"/>
      <c r="L1" s="233"/>
      <c r="M1" s="233"/>
      <c r="N1" s="233"/>
      <c r="O1" s="233"/>
      <c r="P1" s="233"/>
      <c r="Q1" s="233"/>
      <c r="R1" s="233"/>
    </row>
    <row r="2" spans="1:19" ht="53.25" customHeight="1" x14ac:dyDescent="0.2">
      <c r="A2" s="235" t="s">
        <v>33</v>
      </c>
      <c r="B2" s="237" t="s">
        <v>34</v>
      </c>
      <c r="C2" s="237" t="s">
        <v>212</v>
      </c>
      <c r="D2" s="229" t="s">
        <v>266</v>
      </c>
      <c r="E2" s="229"/>
      <c r="F2" s="229"/>
      <c r="G2" s="230"/>
      <c r="H2" s="231" t="s">
        <v>277</v>
      </c>
      <c r="I2" s="241" t="s">
        <v>280</v>
      </c>
      <c r="J2" s="237" t="s">
        <v>36</v>
      </c>
      <c r="K2" s="229" t="s">
        <v>267</v>
      </c>
      <c r="L2" s="229"/>
      <c r="M2" s="229"/>
      <c r="N2" s="230"/>
      <c r="O2" s="237" t="s">
        <v>268</v>
      </c>
      <c r="P2" s="237"/>
      <c r="Q2" s="237"/>
      <c r="R2" s="239" t="s">
        <v>35</v>
      </c>
    </row>
    <row r="3" spans="1:19" ht="49.5" customHeight="1" thickBot="1" x14ac:dyDescent="0.25">
      <c r="A3" s="236"/>
      <c r="B3" s="238"/>
      <c r="C3" s="238"/>
      <c r="D3" s="138" t="s">
        <v>273</v>
      </c>
      <c r="E3" s="138" t="s">
        <v>279</v>
      </c>
      <c r="F3" s="89" t="s">
        <v>242</v>
      </c>
      <c r="G3" s="89" t="s">
        <v>274</v>
      </c>
      <c r="H3" s="232"/>
      <c r="I3" s="242"/>
      <c r="J3" s="238"/>
      <c r="K3" s="138" t="s">
        <v>273</v>
      </c>
      <c r="L3" s="138" t="s">
        <v>279</v>
      </c>
      <c r="M3" s="89" t="s">
        <v>242</v>
      </c>
      <c r="N3" s="89" t="s">
        <v>274</v>
      </c>
      <c r="O3" s="138" t="s">
        <v>273</v>
      </c>
      <c r="P3" s="138" t="s">
        <v>279</v>
      </c>
      <c r="Q3" s="89" t="s">
        <v>242</v>
      </c>
      <c r="R3" s="240"/>
      <c r="S3" s="1">
        <v>1</v>
      </c>
    </row>
    <row r="4" spans="1:19" ht="6.75" customHeight="1" thickBot="1" x14ac:dyDescent="0.25">
      <c r="A4" s="13"/>
      <c r="B4" s="14"/>
      <c r="C4" s="15"/>
      <c r="D4" s="15"/>
      <c r="E4" s="15"/>
      <c r="F4" s="15"/>
      <c r="G4" s="15"/>
      <c r="H4" s="15"/>
      <c r="I4" s="15"/>
      <c r="J4" s="16"/>
      <c r="K4" s="17"/>
      <c r="L4" s="17"/>
      <c r="M4" s="17"/>
      <c r="N4" s="17"/>
      <c r="O4" s="16"/>
      <c r="P4" s="16"/>
      <c r="Q4" s="16"/>
      <c r="R4" s="15"/>
      <c r="S4" s="1">
        <v>1</v>
      </c>
    </row>
    <row r="5" spans="1:19" ht="21.75" customHeight="1" x14ac:dyDescent="0.2">
      <c r="A5" s="18" t="s">
        <v>37</v>
      </c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0"/>
      <c r="P5" s="20"/>
      <c r="Q5" s="20"/>
      <c r="R5" s="22"/>
      <c r="S5" s="1">
        <v>1</v>
      </c>
    </row>
    <row r="6" spans="1:19" thickBot="1" x14ac:dyDescent="0.25">
      <c r="A6" s="37">
        <v>1</v>
      </c>
      <c r="B6" s="38" t="s">
        <v>38</v>
      </c>
      <c r="C6" s="39">
        <v>12</v>
      </c>
      <c r="D6" s="39">
        <v>12</v>
      </c>
      <c r="E6" s="39">
        <v>12</v>
      </c>
      <c r="F6" s="139">
        <f>(E6-D6)/D6%</f>
        <v>0</v>
      </c>
      <c r="G6" s="139">
        <f>E6/C6%</f>
        <v>100</v>
      </c>
      <c r="H6" s="39">
        <v>722</v>
      </c>
      <c r="I6" s="39">
        <v>722</v>
      </c>
      <c r="J6" s="39">
        <v>43884</v>
      </c>
      <c r="K6" s="39">
        <v>26187</v>
      </c>
      <c r="L6" s="39">
        <f>'[2]1.RSP Districts '!L6</f>
        <v>26187</v>
      </c>
      <c r="M6" s="139">
        <f>(L6-K6)/K6%</f>
        <v>0</v>
      </c>
      <c r="N6" s="139">
        <f>L6/J6%</f>
        <v>59.673229423024338</v>
      </c>
      <c r="O6" s="39">
        <v>1563</v>
      </c>
      <c r="P6" s="39">
        <f>'[2]1.RSP Districts '!P6</f>
        <v>1593</v>
      </c>
      <c r="Q6" s="139">
        <f>(P6-O6)/O6%</f>
        <v>1.9193857965451055</v>
      </c>
      <c r="R6" s="160" t="s">
        <v>5</v>
      </c>
      <c r="S6" s="1">
        <v>1</v>
      </c>
    </row>
    <row r="7" spans="1:19" s="5" customFormat="1" ht="15.75" thickBot="1" x14ac:dyDescent="0.3">
      <c r="A7" s="157">
        <f>A6</f>
        <v>1</v>
      </c>
      <c r="B7" s="159" t="s">
        <v>39</v>
      </c>
      <c r="C7" s="57">
        <f>C6</f>
        <v>12</v>
      </c>
      <c r="D7" s="57">
        <f>D6</f>
        <v>12</v>
      </c>
      <c r="E7" s="57">
        <f>E6</f>
        <v>12</v>
      </c>
      <c r="F7" s="156">
        <f>(E7-D7)/D7%</f>
        <v>0</v>
      </c>
      <c r="G7" s="156">
        <f>E7/C7%</f>
        <v>100</v>
      </c>
      <c r="H7" s="156">
        <f>H6</f>
        <v>722</v>
      </c>
      <c r="I7" s="156">
        <f>I6</f>
        <v>722</v>
      </c>
      <c r="J7" s="57">
        <f>J6</f>
        <v>43884</v>
      </c>
      <c r="K7" s="57">
        <f>K6</f>
        <v>26187</v>
      </c>
      <c r="L7" s="57">
        <f>L6</f>
        <v>26187</v>
      </c>
      <c r="M7" s="156">
        <f>(L7-K7)/K7%</f>
        <v>0</v>
      </c>
      <c r="N7" s="156">
        <f>L7/J7%</f>
        <v>59.673229423024338</v>
      </c>
      <c r="O7" s="57">
        <f>O6</f>
        <v>1563</v>
      </c>
      <c r="P7" s="57">
        <f>P6</f>
        <v>1593</v>
      </c>
      <c r="Q7" s="156">
        <f>(P7-O7)/O7%</f>
        <v>1.9193857965451055</v>
      </c>
      <c r="R7" s="158"/>
      <c r="S7" s="1">
        <v>1</v>
      </c>
    </row>
    <row r="8" spans="1:19" ht="4.5" customHeight="1" thickBot="1" x14ac:dyDescent="0.25">
      <c r="A8" s="13"/>
      <c r="B8" s="14"/>
      <c r="C8" s="59"/>
      <c r="D8" s="28"/>
      <c r="E8" s="28"/>
      <c r="F8" s="106"/>
      <c r="G8" s="106"/>
      <c r="H8" s="106"/>
      <c r="I8" s="106"/>
      <c r="J8" s="59"/>
      <c r="K8" s="28"/>
      <c r="L8" s="28"/>
      <c r="M8" s="28"/>
      <c r="N8" s="28"/>
      <c r="O8" s="28"/>
      <c r="P8" s="28"/>
      <c r="Q8" s="28"/>
      <c r="R8" s="15"/>
      <c r="S8" s="1">
        <v>1</v>
      </c>
    </row>
    <row r="9" spans="1:19" ht="14.25" x14ac:dyDescent="0.2">
      <c r="A9" s="18" t="s">
        <v>40</v>
      </c>
      <c r="B9" s="19"/>
      <c r="C9" s="20"/>
      <c r="D9" s="29"/>
      <c r="E9" s="29"/>
      <c r="F9" s="107"/>
      <c r="G9" s="107"/>
      <c r="H9" s="107"/>
      <c r="I9" s="107"/>
      <c r="J9" s="20"/>
      <c r="K9" s="29"/>
      <c r="L9" s="29"/>
      <c r="M9" s="29"/>
      <c r="N9" s="29"/>
      <c r="O9" s="29"/>
      <c r="P9" s="29"/>
      <c r="Q9" s="29"/>
      <c r="R9" s="22"/>
      <c r="S9" s="1">
        <v>1</v>
      </c>
    </row>
    <row r="10" spans="1:19" ht="14.25" x14ac:dyDescent="0.2">
      <c r="A10" s="23">
        <v>1</v>
      </c>
      <c r="B10" s="24" t="s">
        <v>41</v>
      </c>
      <c r="C10" s="25">
        <v>8</v>
      </c>
      <c r="D10" s="39">
        <v>8</v>
      </c>
      <c r="E10" s="39">
        <v>8</v>
      </c>
      <c r="F10" s="105">
        <f>(E10-D10)/D10%</f>
        <v>0</v>
      </c>
      <c r="G10" s="105">
        <f>E10/C10%</f>
        <v>100</v>
      </c>
      <c r="H10" s="39">
        <v>118</v>
      </c>
      <c r="I10" s="39">
        <v>118</v>
      </c>
      <c r="J10" s="25">
        <v>22144</v>
      </c>
      <c r="K10" s="25">
        <v>9890</v>
      </c>
      <c r="L10" s="39">
        <f>'[2]1.RSP Districts '!L10</f>
        <v>9890</v>
      </c>
      <c r="M10" s="105">
        <f t="shared" ref="M10:M40" si="0">(L10-K10)/K10%</f>
        <v>0</v>
      </c>
      <c r="N10" s="105">
        <f t="shared" ref="N10:N40" si="1">L10/J10%</f>
        <v>44.662210982658962</v>
      </c>
      <c r="O10" s="25">
        <v>598</v>
      </c>
      <c r="P10" s="39">
        <f>'[2]1.RSP Districts '!P10</f>
        <v>598</v>
      </c>
      <c r="Q10" s="105">
        <f t="shared" ref="Q10:Q40" si="2">(P10-O10)/O10%</f>
        <v>0</v>
      </c>
      <c r="R10" s="27" t="s">
        <v>5</v>
      </c>
      <c r="S10" s="1">
        <v>1</v>
      </c>
    </row>
    <row r="11" spans="1:19" ht="14.25" x14ac:dyDescent="0.2">
      <c r="A11" s="23">
        <v>2</v>
      </c>
      <c r="B11" s="24" t="s">
        <v>180</v>
      </c>
      <c r="C11" s="25">
        <v>8</v>
      </c>
      <c r="D11" s="39">
        <v>0</v>
      </c>
      <c r="E11" s="39"/>
      <c r="F11" s="105">
        <v>0</v>
      </c>
      <c r="G11" s="105">
        <f t="shared" ref="G11:G40" si="3">E11/C11%</f>
        <v>0</v>
      </c>
      <c r="H11" s="105"/>
      <c r="I11" s="105"/>
      <c r="J11" s="25">
        <v>13787</v>
      </c>
      <c r="K11" s="25"/>
      <c r="L11" s="25"/>
      <c r="M11" s="105">
        <v>0</v>
      </c>
      <c r="N11" s="105">
        <v>0</v>
      </c>
      <c r="O11" s="25"/>
      <c r="P11" s="26"/>
      <c r="Q11" s="105">
        <v>0</v>
      </c>
      <c r="R11" s="81">
        <v>0</v>
      </c>
      <c r="S11" s="1">
        <v>1</v>
      </c>
    </row>
    <row r="12" spans="1:19" ht="14.25" x14ac:dyDescent="0.2">
      <c r="A12" s="23">
        <v>3</v>
      </c>
      <c r="B12" s="24" t="s">
        <v>42</v>
      </c>
      <c r="C12" s="25">
        <v>27</v>
      </c>
      <c r="D12" s="39">
        <v>1</v>
      </c>
      <c r="E12" s="39">
        <f>'[3]1.RSP Districts '!E12</f>
        <v>1</v>
      </c>
      <c r="F12" s="105">
        <f t="shared" ref="F12:F40" si="4">(E12-D12)/D12%</f>
        <v>0</v>
      </c>
      <c r="G12" s="105">
        <f t="shared" si="3"/>
        <v>3.7037037037037033</v>
      </c>
      <c r="H12" s="39">
        <v>6</v>
      </c>
      <c r="I12" s="39">
        <f>'[3]1.RSP Districts '!I12</f>
        <v>6</v>
      </c>
      <c r="J12" s="25">
        <v>35003</v>
      </c>
      <c r="K12" s="25">
        <v>2434</v>
      </c>
      <c r="L12" s="39">
        <f>'[3]1.RSP Districts '!L12</f>
        <v>2434</v>
      </c>
      <c r="M12" s="105">
        <f t="shared" si="0"/>
        <v>0</v>
      </c>
      <c r="N12" s="105">
        <f t="shared" si="1"/>
        <v>6.953689683741394</v>
      </c>
      <c r="O12" s="25">
        <v>109</v>
      </c>
      <c r="P12" s="39">
        <f>'[3]1.RSP Districts '!P12</f>
        <v>109</v>
      </c>
      <c r="Q12" s="105">
        <f t="shared" si="2"/>
        <v>0</v>
      </c>
      <c r="R12" s="27" t="s">
        <v>3</v>
      </c>
      <c r="S12" s="1">
        <v>1</v>
      </c>
    </row>
    <row r="13" spans="1:19" ht="14.25" x14ac:dyDescent="0.2">
      <c r="A13" s="23">
        <v>4</v>
      </c>
      <c r="B13" s="24" t="s">
        <v>181</v>
      </c>
      <c r="C13" s="25">
        <v>10</v>
      </c>
      <c r="D13" s="39">
        <v>0</v>
      </c>
      <c r="E13" s="39"/>
      <c r="F13" s="105">
        <v>0</v>
      </c>
      <c r="G13" s="105">
        <f t="shared" si="3"/>
        <v>0</v>
      </c>
      <c r="H13" s="105"/>
      <c r="I13" s="105"/>
      <c r="J13" s="172">
        <v>13570</v>
      </c>
      <c r="K13" s="25"/>
      <c r="L13" s="25"/>
      <c r="M13" s="105">
        <v>0</v>
      </c>
      <c r="N13" s="105">
        <v>0</v>
      </c>
      <c r="O13" s="25"/>
      <c r="P13" s="26"/>
      <c r="Q13" s="105">
        <v>0</v>
      </c>
      <c r="R13" s="81">
        <v>0</v>
      </c>
      <c r="S13" s="1">
        <v>1</v>
      </c>
    </row>
    <row r="14" spans="1:19" ht="14.25" x14ac:dyDescent="0.2">
      <c r="A14" s="23">
        <v>5</v>
      </c>
      <c r="B14" s="24" t="s">
        <v>182</v>
      </c>
      <c r="C14" s="25">
        <v>12</v>
      </c>
      <c r="D14" s="39">
        <v>0</v>
      </c>
      <c r="E14" s="39"/>
      <c r="F14" s="105">
        <v>0</v>
      </c>
      <c r="G14" s="105">
        <f t="shared" si="3"/>
        <v>0</v>
      </c>
      <c r="H14" s="105"/>
      <c r="I14" s="105"/>
      <c r="J14" s="172">
        <v>27337</v>
      </c>
      <c r="K14" s="25"/>
      <c r="L14" s="25"/>
      <c r="M14" s="105">
        <v>0</v>
      </c>
      <c r="N14" s="105">
        <v>0</v>
      </c>
      <c r="O14" s="25"/>
      <c r="P14" s="26"/>
      <c r="Q14" s="105">
        <v>0</v>
      </c>
      <c r="R14" s="81">
        <v>0</v>
      </c>
      <c r="S14" s="1">
        <v>1</v>
      </c>
    </row>
    <row r="15" spans="1:19" ht="14.25" x14ac:dyDescent="0.2">
      <c r="A15" s="23">
        <v>6</v>
      </c>
      <c r="B15" s="24" t="s">
        <v>43</v>
      </c>
      <c r="C15" s="25">
        <v>13</v>
      </c>
      <c r="D15" s="39">
        <v>13</v>
      </c>
      <c r="E15" s="39">
        <v>13</v>
      </c>
      <c r="F15" s="105">
        <f t="shared" si="4"/>
        <v>0</v>
      </c>
      <c r="G15" s="105">
        <f t="shared" si="3"/>
        <v>100</v>
      </c>
      <c r="H15" s="39">
        <v>144</v>
      </c>
      <c r="I15" s="39">
        <v>144</v>
      </c>
      <c r="J15" s="25">
        <v>16691</v>
      </c>
      <c r="K15" s="39">
        <v>19310</v>
      </c>
      <c r="L15" s="39">
        <f>'[2]1.RSP Districts '!L15</f>
        <v>19324</v>
      </c>
      <c r="M15" s="105">
        <f t="shared" si="0"/>
        <v>7.2501294665976185E-2</v>
      </c>
      <c r="N15" s="105">
        <f t="shared" si="1"/>
        <v>115.77496854592296</v>
      </c>
      <c r="O15" s="25">
        <v>862</v>
      </c>
      <c r="P15" s="39">
        <f>'[2]1.RSP Districts '!P15</f>
        <v>863</v>
      </c>
      <c r="Q15" s="105">
        <f t="shared" si="2"/>
        <v>0.11600928074245941</v>
      </c>
      <c r="R15" s="27" t="s">
        <v>5</v>
      </c>
      <c r="S15" s="1">
        <v>1</v>
      </c>
    </row>
    <row r="16" spans="1:19" ht="14.25" x14ac:dyDescent="0.2">
      <c r="A16" s="23">
        <v>7</v>
      </c>
      <c r="B16" s="24" t="s">
        <v>183</v>
      </c>
      <c r="C16" s="25">
        <v>10</v>
      </c>
      <c r="D16" s="39">
        <v>0</v>
      </c>
      <c r="E16" s="39"/>
      <c r="F16" s="105">
        <v>0</v>
      </c>
      <c r="G16" s="105">
        <f t="shared" si="3"/>
        <v>0</v>
      </c>
      <c r="H16" s="105"/>
      <c r="I16" s="105"/>
      <c r="J16" s="25">
        <v>0</v>
      </c>
      <c r="K16" s="25"/>
      <c r="L16" s="25"/>
      <c r="M16" s="105">
        <v>0</v>
      </c>
      <c r="N16" s="105">
        <v>0</v>
      </c>
      <c r="O16" s="25"/>
      <c r="P16" s="26"/>
      <c r="Q16" s="105">
        <v>0</v>
      </c>
      <c r="R16" s="81">
        <v>0</v>
      </c>
      <c r="S16" s="1">
        <v>1</v>
      </c>
    </row>
    <row r="17" spans="1:19" ht="14.25" x14ac:dyDescent="0.2">
      <c r="A17" s="23">
        <v>8</v>
      </c>
      <c r="B17" s="24" t="s">
        <v>44</v>
      </c>
      <c r="C17" s="25">
        <v>9</v>
      </c>
      <c r="D17" s="39">
        <v>9</v>
      </c>
      <c r="E17" s="39">
        <f>'[3]1.RSP Districts '!E17</f>
        <v>9</v>
      </c>
      <c r="F17" s="105">
        <f t="shared" si="4"/>
        <v>0</v>
      </c>
      <c r="G17" s="105">
        <f t="shared" si="3"/>
        <v>100</v>
      </c>
      <c r="H17" s="39">
        <v>98</v>
      </c>
      <c r="I17" s="39">
        <f>'[3]1.RSP Districts '!I17</f>
        <v>98</v>
      </c>
      <c r="J17" s="25">
        <v>16184</v>
      </c>
      <c r="K17" s="39">
        <v>9708</v>
      </c>
      <c r="L17" s="39">
        <f>'[3]1.RSP Districts '!L17</f>
        <v>9708</v>
      </c>
      <c r="M17" s="105">
        <f t="shared" si="0"/>
        <v>0</v>
      </c>
      <c r="N17" s="105">
        <f t="shared" si="1"/>
        <v>59.985170538803757</v>
      </c>
      <c r="O17" s="25">
        <v>577</v>
      </c>
      <c r="P17" s="39">
        <f>'[3]1.RSP Districts '!P17</f>
        <v>577</v>
      </c>
      <c r="Q17" s="105">
        <f t="shared" si="2"/>
        <v>0</v>
      </c>
      <c r="R17" s="27" t="s">
        <v>3</v>
      </c>
      <c r="S17" s="1">
        <v>1</v>
      </c>
    </row>
    <row r="18" spans="1:19" ht="14.25" x14ac:dyDescent="0.2">
      <c r="A18" s="23">
        <v>9</v>
      </c>
      <c r="B18" s="24" t="s">
        <v>45</v>
      </c>
      <c r="C18" s="25">
        <v>46</v>
      </c>
      <c r="D18" s="39">
        <v>29</v>
      </c>
      <c r="E18" s="39">
        <f>'[3]1.RSP Districts '!E18</f>
        <v>29</v>
      </c>
      <c r="F18" s="105">
        <f t="shared" si="4"/>
        <v>0</v>
      </c>
      <c r="G18" s="105">
        <f t="shared" si="3"/>
        <v>63.043478260869563</v>
      </c>
      <c r="H18" s="39">
        <v>41</v>
      </c>
      <c r="I18" s="39">
        <f>'[3]1.RSP Districts '!I18</f>
        <v>41</v>
      </c>
      <c r="J18" s="25">
        <v>52664</v>
      </c>
      <c r="K18" s="25">
        <v>8739</v>
      </c>
      <c r="L18" s="39">
        <f>'[3]1.RSP Districts '!L18</f>
        <v>8739</v>
      </c>
      <c r="M18" s="105">
        <f t="shared" si="0"/>
        <v>0</v>
      </c>
      <c r="N18" s="105">
        <f t="shared" si="1"/>
        <v>16.593878171046637</v>
      </c>
      <c r="O18" s="25">
        <v>163</v>
      </c>
      <c r="P18" s="39">
        <f>'[3]1.RSP Districts '!P18</f>
        <v>163</v>
      </c>
      <c r="Q18" s="105">
        <f t="shared" si="2"/>
        <v>0</v>
      </c>
      <c r="R18" s="27" t="s">
        <v>3</v>
      </c>
      <c r="S18" s="1">
        <v>1</v>
      </c>
    </row>
    <row r="19" spans="1:19" ht="14.25" x14ac:dyDescent="0.2">
      <c r="A19" s="23">
        <v>10</v>
      </c>
      <c r="B19" s="24" t="s">
        <v>46</v>
      </c>
      <c r="C19" s="25">
        <v>18</v>
      </c>
      <c r="D19" s="39">
        <v>15</v>
      </c>
      <c r="E19" s="39">
        <f>'[3]1.RSP Districts '!E19</f>
        <v>15</v>
      </c>
      <c r="F19" s="105">
        <f t="shared" si="4"/>
        <v>0</v>
      </c>
      <c r="G19" s="105">
        <f t="shared" si="3"/>
        <v>83.333333333333343</v>
      </c>
      <c r="H19" s="39">
        <v>226</v>
      </c>
      <c r="I19" s="39">
        <f>'[3]1.RSP Districts '!I19</f>
        <v>226</v>
      </c>
      <c r="J19" s="25">
        <v>31396</v>
      </c>
      <c r="K19" s="25">
        <v>28829</v>
      </c>
      <c r="L19" s="39">
        <f>'[3]1.RSP Districts '!L19</f>
        <v>28829</v>
      </c>
      <c r="M19" s="105">
        <f t="shared" si="0"/>
        <v>0</v>
      </c>
      <c r="N19" s="105">
        <f t="shared" si="1"/>
        <v>91.823799210090456</v>
      </c>
      <c r="O19" s="25">
        <v>1870</v>
      </c>
      <c r="P19" s="39">
        <f>'[3]1.RSP Districts '!P19</f>
        <v>1870</v>
      </c>
      <c r="Q19" s="105">
        <f t="shared" si="2"/>
        <v>0</v>
      </c>
      <c r="R19" s="27" t="s">
        <v>3</v>
      </c>
      <c r="S19" s="1">
        <v>1</v>
      </c>
    </row>
    <row r="20" spans="1:19" ht="14.25" x14ac:dyDescent="0.2">
      <c r="A20" s="23">
        <v>11</v>
      </c>
      <c r="B20" s="24" t="s">
        <v>47</v>
      </c>
      <c r="C20" s="25">
        <v>38</v>
      </c>
      <c r="D20" s="39">
        <v>38</v>
      </c>
      <c r="E20" s="39">
        <v>38</v>
      </c>
      <c r="F20" s="105">
        <f t="shared" si="4"/>
        <v>0</v>
      </c>
      <c r="G20" s="105">
        <f t="shared" si="3"/>
        <v>100</v>
      </c>
      <c r="H20" s="39">
        <v>357</v>
      </c>
      <c r="I20" s="39">
        <v>357</v>
      </c>
      <c r="J20" s="25">
        <v>70164</v>
      </c>
      <c r="K20" s="25">
        <v>48560</v>
      </c>
      <c r="L20" s="39">
        <f>'[2]1.RSP Districts '!L20</f>
        <v>48580</v>
      </c>
      <c r="M20" s="105">
        <f t="shared" si="0"/>
        <v>4.118616144975288E-2</v>
      </c>
      <c r="N20" s="105">
        <f t="shared" si="1"/>
        <v>69.237785759078733</v>
      </c>
      <c r="O20" s="25">
        <v>2245</v>
      </c>
      <c r="P20" s="39">
        <f>'[2]1.RSP Districts '!P20</f>
        <v>2245</v>
      </c>
      <c r="Q20" s="105">
        <f t="shared" si="2"/>
        <v>0</v>
      </c>
      <c r="R20" s="27" t="s">
        <v>5</v>
      </c>
      <c r="S20" s="1">
        <v>1</v>
      </c>
    </row>
    <row r="21" spans="1:19" ht="14.25" x14ac:dyDescent="0.2">
      <c r="A21" s="23">
        <v>12</v>
      </c>
      <c r="B21" s="24" t="s">
        <v>48</v>
      </c>
      <c r="C21" s="25">
        <v>7</v>
      </c>
      <c r="D21" s="39">
        <v>7</v>
      </c>
      <c r="E21" s="39">
        <f>'[3]1.RSP Districts '!E21</f>
        <v>7</v>
      </c>
      <c r="F21" s="105">
        <f t="shared" si="4"/>
        <v>0</v>
      </c>
      <c r="G21" s="105">
        <f t="shared" si="3"/>
        <v>99.999999999999986</v>
      </c>
      <c r="H21" s="39">
        <v>137</v>
      </c>
      <c r="I21" s="39">
        <f>'[3]1.RSP Districts '!I21</f>
        <v>137</v>
      </c>
      <c r="J21" s="25">
        <v>14328.125</v>
      </c>
      <c r="K21" s="39">
        <v>15739</v>
      </c>
      <c r="L21" s="39">
        <f>'[3]1.RSP Districts '!L21</f>
        <v>15739</v>
      </c>
      <c r="M21" s="105">
        <f t="shared" si="0"/>
        <v>0</v>
      </c>
      <c r="N21" s="105">
        <f t="shared" si="1"/>
        <v>109.84689203925845</v>
      </c>
      <c r="O21" s="25">
        <v>942</v>
      </c>
      <c r="P21" s="39">
        <f>'[3]1.RSP Districts '!P21</f>
        <v>942</v>
      </c>
      <c r="Q21" s="105">
        <f t="shared" si="2"/>
        <v>0</v>
      </c>
      <c r="R21" s="27" t="s">
        <v>3</v>
      </c>
      <c r="S21" s="1">
        <v>1</v>
      </c>
    </row>
    <row r="22" spans="1:19" ht="14.25" x14ac:dyDescent="0.2">
      <c r="A22" s="23">
        <v>13</v>
      </c>
      <c r="B22" s="24" t="s">
        <v>49</v>
      </c>
      <c r="C22" s="25">
        <v>35</v>
      </c>
      <c r="D22" s="39">
        <v>28</v>
      </c>
      <c r="E22" s="39">
        <f>'[3]1.RSP Districts '!E22</f>
        <v>28</v>
      </c>
      <c r="F22" s="105">
        <f t="shared" si="4"/>
        <v>0</v>
      </c>
      <c r="G22" s="105">
        <f t="shared" si="3"/>
        <v>80</v>
      </c>
      <c r="H22" s="39">
        <v>217</v>
      </c>
      <c r="I22" s="39">
        <f>'[3]1.RSP Districts '!I22</f>
        <v>217</v>
      </c>
      <c r="J22" s="25">
        <v>60032</v>
      </c>
      <c r="K22" s="39">
        <v>34100</v>
      </c>
      <c r="L22" s="39">
        <f>'[3]1.RSP Districts '!L22</f>
        <v>34100</v>
      </c>
      <c r="M22" s="105">
        <f t="shared" si="0"/>
        <v>0</v>
      </c>
      <c r="N22" s="105">
        <f t="shared" si="1"/>
        <v>56.803038379530911</v>
      </c>
      <c r="O22" s="25">
        <v>2060</v>
      </c>
      <c r="P22" s="39">
        <f>'[3]1.RSP Districts '!P22</f>
        <v>2060</v>
      </c>
      <c r="Q22" s="105">
        <f t="shared" si="2"/>
        <v>0</v>
      </c>
      <c r="R22" s="27" t="s">
        <v>3</v>
      </c>
      <c r="S22" s="1">
        <v>1</v>
      </c>
    </row>
    <row r="23" spans="1:19" ht="14.25" x14ac:dyDescent="0.2">
      <c r="A23" s="23">
        <v>14</v>
      </c>
      <c r="B23" s="24" t="s">
        <v>184</v>
      </c>
      <c r="C23" s="25">
        <v>25</v>
      </c>
      <c r="D23" s="39">
        <v>0</v>
      </c>
      <c r="E23" s="39"/>
      <c r="F23" s="105">
        <v>0</v>
      </c>
      <c r="G23" s="105">
        <f t="shared" si="3"/>
        <v>0</v>
      </c>
      <c r="H23" s="105"/>
      <c r="I23" s="105"/>
      <c r="J23" s="173">
        <v>44863</v>
      </c>
      <c r="K23" s="25"/>
      <c r="L23" s="25"/>
      <c r="M23" s="105">
        <v>0</v>
      </c>
      <c r="N23" s="105">
        <v>0</v>
      </c>
      <c r="O23" s="25"/>
      <c r="P23" s="26"/>
      <c r="Q23" s="105">
        <v>0</v>
      </c>
      <c r="R23" s="81">
        <v>0</v>
      </c>
      <c r="S23" s="1">
        <v>1</v>
      </c>
    </row>
    <row r="24" spans="1:19" ht="14.25" x14ac:dyDescent="0.2">
      <c r="A24" s="23">
        <v>15</v>
      </c>
      <c r="B24" s="24" t="s">
        <v>50</v>
      </c>
      <c r="C24" s="25">
        <v>15</v>
      </c>
      <c r="D24" s="39">
        <v>13</v>
      </c>
      <c r="E24" s="39">
        <f>'[3]1.RSP Districts '!E24</f>
        <v>13</v>
      </c>
      <c r="F24" s="105">
        <f t="shared" si="4"/>
        <v>0</v>
      </c>
      <c r="G24" s="105">
        <f t="shared" si="3"/>
        <v>86.666666666666671</v>
      </c>
      <c r="H24" s="39">
        <v>131</v>
      </c>
      <c r="I24" s="39">
        <f>'[3]1.RSP Districts '!I24</f>
        <v>131</v>
      </c>
      <c r="J24" s="25">
        <v>28796</v>
      </c>
      <c r="K24" s="25">
        <v>19117</v>
      </c>
      <c r="L24" s="39">
        <f>'[3]1.RSP Districts '!L24</f>
        <v>19117</v>
      </c>
      <c r="M24" s="105">
        <f t="shared" si="0"/>
        <v>0</v>
      </c>
      <c r="N24" s="105">
        <f t="shared" si="1"/>
        <v>66.387692735102107</v>
      </c>
      <c r="O24" s="25">
        <v>1220</v>
      </c>
      <c r="P24" s="39">
        <f>'[3]1.RSP Districts '!P24</f>
        <v>1220</v>
      </c>
      <c r="Q24" s="105">
        <f t="shared" si="2"/>
        <v>0</v>
      </c>
      <c r="R24" s="27" t="s">
        <v>3</v>
      </c>
      <c r="S24" s="1">
        <v>1</v>
      </c>
    </row>
    <row r="25" spans="1:19" ht="14.25" x14ac:dyDescent="0.2">
      <c r="A25" s="23">
        <v>16</v>
      </c>
      <c r="B25" s="24" t="s">
        <v>185</v>
      </c>
      <c r="C25" s="25">
        <v>8</v>
      </c>
      <c r="D25" s="39">
        <v>0</v>
      </c>
      <c r="E25" s="39"/>
      <c r="F25" s="105">
        <v>0</v>
      </c>
      <c r="G25" s="105">
        <f t="shared" si="3"/>
        <v>0</v>
      </c>
      <c r="H25" s="105"/>
      <c r="I25" s="105"/>
      <c r="J25" s="172">
        <v>15156</v>
      </c>
      <c r="K25" s="25"/>
      <c r="L25" s="25"/>
      <c r="M25" s="105">
        <v>0</v>
      </c>
      <c r="N25" s="105">
        <v>0</v>
      </c>
      <c r="O25" s="25"/>
      <c r="P25" s="26"/>
      <c r="Q25" s="105">
        <v>0</v>
      </c>
      <c r="R25" s="81">
        <v>0</v>
      </c>
      <c r="S25" s="1">
        <v>1</v>
      </c>
    </row>
    <row r="26" spans="1:19" ht="14.25" x14ac:dyDescent="0.2">
      <c r="A26" s="23">
        <v>17</v>
      </c>
      <c r="B26" s="24" t="s">
        <v>51</v>
      </c>
      <c r="C26" s="25">
        <v>22</v>
      </c>
      <c r="D26" s="39">
        <v>0</v>
      </c>
      <c r="E26" s="39">
        <v>0</v>
      </c>
      <c r="F26" s="105">
        <v>0</v>
      </c>
      <c r="G26" s="105">
        <f t="shared" si="3"/>
        <v>0</v>
      </c>
      <c r="H26" s="39">
        <v>288</v>
      </c>
      <c r="I26" s="39">
        <v>288</v>
      </c>
      <c r="J26" s="25">
        <v>34637</v>
      </c>
      <c r="K26" s="25">
        <v>1739</v>
      </c>
      <c r="L26" s="39">
        <f>'[2]1.RSP Districts '!L26</f>
        <v>3655</v>
      </c>
      <c r="M26" s="105">
        <v>0</v>
      </c>
      <c r="N26" s="105">
        <f t="shared" si="1"/>
        <v>10.552299564050005</v>
      </c>
      <c r="O26" s="25">
        <v>103</v>
      </c>
      <c r="P26" s="39">
        <f>'[2]1.RSP Districts '!P26</f>
        <v>213</v>
      </c>
      <c r="Q26" s="105">
        <v>0</v>
      </c>
      <c r="R26" s="27" t="s">
        <v>5</v>
      </c>
      <c r="S26" s="1">
        <v>1</v>
      </c>
    </row>
    <row r="27" spans="1:19" ht="14.25" x14ac:dyDescent="0.2">
      <c r="A27" s="23">
        <v>18</v>
      </c>
      <c r="B27" s="24" t="s">
        <v>186</v>
      </c>
      <c r="C27" s="25">
        <v>20</v>
      </c>
      <c r="D27" s="39">
        <v>20</v>
      </c>
      <c r="E27" s="39">
        <f>'[3]1.RSP Districts '!E27</f>
        <v>20</v>
      </c>
      <c r="F27" s="105">
        <f t="shared" si="4"/>
        <v>0</v>
      </c>
      <c r="G27" s="105">
        <f t="shared" si="3"/>
        <v>100</v>
      </c>
      <c r="H27" s="39">
        <v>20</v>
      </c>
      <c r="I27" s="39">
        <f>'[3]1.RSP Districts '!I27</f>
        <v>20</v>
      </c>
      <c r="J27" s="172">
        <v>39770</v>
      </c>
      <c r="K27" s="25">
        <v>2588</v>
      </c>
      <c r="L27" s="39">
        <f>'[3]1.RSP Districts '!L27</f>
        <v>2588</v>
      </c>
      <c r="M27" s="105">
        <f t="shared" si="0"/>
        <v>0</v>
      </c>
      <c r="N27" s="105">
        <f t="shared" si="1"/>
        <v>6.5074176514961026</v>
      </c>
      <c r="O27" s="25">
        <v>134</v>
      </c>
      <c r="P27" s="39">
        <f>'[3]1.RSP Districts '!P27</f>
        <v>134</v>
      </c>
      <c r="Q27" s="105">
        <f t="shared" si="2"/>
        <v>0</v>
      </c>
      <c r="R27" s="81" t="s">
        <v>3</v>
      </c>
      <c r="S27" s="1">
        <v>1</v>
      </c>
    </row>
    <row r="28" spans="1:19" ht="14.25" x14ac:dyDescent="0.2">
      <c r="A28" s="23">
        <v>19</v>
      </c>
      <c r="B28" s="24" t="s">
        <v>52</v>
      </c>
      <c r="C28" s="25">
        <v>13</v>
      </c>
      <c r="D28" s="39">
        <v>13</v>
      </c>
      <c r="E28" s="39">
        <f>'[3]1.RSP Districts '!E28</f>
        <v>13</v>
      </c>
      <c r="F28" s="105">
        <f t="shared" si="4"/>
        <v>0</v>
      </c>
      <c r="G28" s="105">
        <f t="shared" si="3"/>
        <v>100</v>
      </c>
      <c r="H28" s="39">
        <v>82</v>
      </c>
      <c r="I28" s="39">
        <f>'[3]1.RSP Districts '!I28</f>
        <v>82</v>
      </c>
      <c r="J28" s="25">
        <v>18831</v>
      </c>
      <c r="K28" s="25">
        <v>18831</v>
      </c>
      <c r="L28" s="39">
        <f>'[3]1.RSP Districts '!L28</f>
        <v>18831</v>
      </c>
      <c r="M28" s="105">
        <f t="shared" si="0"/>
        <v>0</v>
      </c>
      <c r="N28" s="105">
        <f t="shared" si="1"/>
        <v>100</v>
      </c>
      <c r="O28" s="25">
        <v>1389</v>
      </c>
      <c r="P28" s="39">
        <f>'[3]1.RSP Districts '!P28</f>
        <v>1389</v>
      </c>
      <c r="Q28" s="105">
        <f t="shared" si="2"/>
        <v>0</v>
      </c>
      <c r="R28" s="27" t="s">
        <v>3</v>
      </c>
      <c r="S28" s="1">
        <v>1</v>
      </c>
    </row>
    <row r="29" spans="1:19" ht="14.25" x14ac:dyDescent="0.2">
      <c r="A29" s="23">
        <v>20</v>
      </c>
      <c r="B29" s="24" t="s">
        <v>187</v>
      </c>
      <c r="C29" s="25">
        <v>10</v>
      </c>
      <c r="D29" s="39">
        <v>0</v>
      </c>
      <c r="E29" s="39"/>
      <c r="F29" s="105">
        <v>0</v>
      </c>
      <c r="G29" s="105">
        <f t="shared" si="3"/>
        <v>0</v>
      </c>
      <c r="H29" s="105"/>
      <c r="I29" s="105"/>
      <c r="J29" s="172">
        <v>19126</v>
      </c>
      <c r="K29" s="25"/>
      <c r="L29" s="25"/>
      <c r="M29" s="105">
        <v>0</v>
      </c>
      <c r="N29" s="105">
        <v>0</v>
      </c>
      <c r="O29" s="25"/>
      <c r="P29" s="26"/>
      <c r="Q29" s="105">
        <v>0</v>
      </c>
      <c r="R29" s="81">
        <v>0</v>
      </c>
      <c r="S29" s="1">
        <v>1</v>
      </c>
    </row>
    <row r="30" spans="1:19" ht="14.25" x14ac:dyDescent="0.2">
      <c r="A30" s="23">
        <v>21</v>
      </c>
      <c r="B30" s="24" t="s">
        <v>188</v>
      </c>
      <c r="C30" s="25">
        <v>24</v>
      </c>
      <c r="D30" s="39">
        <v>0</v>
      </c>
      <c r="E30" s="39"/>
      <c r="F30" s="105">
        <v>0</v>
      </c>
      <c r="G30" s="105">
        <f t="shared" si="3"/>
        <v>0</v>
      </c>
      <c r="H30" s="105"/>
      <c r="I30" s="105"/>
      <c r="J30" s="172">
        <v>34981</v>
      </c>
      <c r="K30" s="25"/>
      <c r="L30" s="25"/>
      <c r="M30" s="105">
        <v>0</v>
      </c>
      <c r="N30" s="105">
        <v>0</v>
      </c>
      <c r="O30" s="25"/>
      <c r="P30" s="26"/>
      <c r="Q30" s="105">
        <v>0</v>
      </c>
      <c r="R30" s="81">
        <v>0</v>
      </c>
      <c r="S30" s="1">
        <v>1</v>
      </c>
    </row>
    <row r="31" spans="1:19" ht="14.25" x14ac:dyDescent="0.2">
      <c r="A31" s="23">
        <v>22</v>
      </c>
      <c r="B31" s="24" t="s">
        <v>189</v>
      </c>
      <c r="C31" s="25">
        <v>10</v>
      </c>
      <c r="D31" s="39">
        <v>1</v>
      </c>
      <c r="E31" s="39">
        <f>'[3]1.RSP Districts '!E31</f>
        <v>1</v>
      </c>
      <c r="F31" s="105">
        <f t="shared" si="4"/>
        <v>0</v>
      </c>
      <c r="G31" s="105">
        <f t="shared" si="3"/>
        <v>10</v>
      </c>
      <c r="H31" s="39">
        <v>4</v>
      </c>
      <c r="I31" s="39">
        <f>'[3]1.RSP Districts '!I31</f>
        <v>4</v>
      </c>
      <c r="J31" s="172">
        <v>13570</v>
      </c>
      <c r="K31" s="25">
        <v>0</v>
      </c>
      <c r="L31" s="39">
        <f>'[3]1.RSP Districts '!L31</f>
        <v>0</v>
      </c>
      <c r="M31" s="105">
        <v>0</v>
      </c>
      <c r="N31" s="105">
        <v>0</v>
      </c>
      <c r="O31" s="25">
        <v>4</v>
      </c>
      <c r="P31" s="39">
        <f>'[3]1.RSP Districts '!P31</f>
        <v>4</v>
      </c>
      <c r="Q31" s="105">
        <v>0</v>
      </c>
      <c r="R31" s="27" t="s">
        <v>3</v>
      </c>
      <c r="S31" s="1">
        <v>1</v>
      </c>
    </row>
    <row r="32" spans="1:19" ht="14.25" x14ac:dyDescent="0.2">
      <c r="A32" s="23">
        <v>23</v>
      </c>
      <c r="B32" s="24" t="s">
        <v>53</v>
      </c>
      <c r="C32" s="25">
        <v>16</v>
      </c>
      <c r="D32" s="39">
        <v>16</v>
      </c>
      <c r="E32" s="39">
        <v>16</v>
      </c>
      <c r="F32" s="105">
        <f t="shared" si="4"/>
        <v>0</v>
      </c>
      <c r="G32" s="105">
        <f t="shared" si="3"/>
        <v>100</v>
      </c>
      <c r="H32" s="39">
        <v>117</v>
      </c>
      <c r="I32" s="39">
        <v>117</v>
      </c>
      <c r="J32" s="25">
        <v>35703</v>
      </c>
      <c r="K32" s="25">
        <v>16949</v>
      </c>
      <c r="L32" s="39">
        <f>'[2]1.RSP Districts '!L32</f>
        <v>16949</v>
      </c>
      <c r="M32" s="105">
        <f t="shared" si="0"/>
        <v>0</v>
      </c>
      <c r="N32" s="105">
        <f t="shared" si="1"/>
        <v>47.472201215584128</v>
      </c>
      <c r="O32" s="25">
        <v>1042</v>
      </c>
      <c r="P32" s="39">
        <f>'[2]1.RSP Districts '!P32</f>
        <v>1042</v>
      </c>
      <c r="Q32" s="105">
        <f t="shared" si="2"/>
        <v>0</v>
      </c>
      <c r="R32" s="27" t="s">
        <v>5</v>
      </c>
      <c r="S32" s="1">
        <v>1</v>
      </c>
    </row>
    <row r="33" spans="1:19" ht="14.25" x14ac:dyDescent="0.2">
      <c r="A33" s="23">
        <v>24</v>
      </c>
      <c r="B33" s="24" t="s">
        <v>54</v>
      </c>
      <c r="C33" s="25">
        <v>38</v>
      </c>
      <c r="D33" s="39">
        <v>35</v>
      </c>
      <c r="E33" s="39">
        <f>'[3]1.RSP Districts '!E33</f>
        <v>35</v>
      </c>
      <c r="F33" s="105">
        <f t="shared" si="4"/>
        <v>0</v>
      </c>
      <c r="G33" s="105">
        <f t="shared" si="3"/>
        <v>92.10526315789474</v>
      </c>
      <c r="H33" s="39">
        <v>197</v>
      </c>
      <c r="I33" s="39">
        <f>'[3]1.RSP Districts '!I33</f>
        <v>197</v>
      </c>
      <c r="J33" s="25">
        <v>55654</v>
      </c>
      <c r="K33" s="39">
        <v>23705</v>
      </c>
      <c r="L33" s="39">
        <f>'[3]1.RSP Districts '!L33</f>
        <v>23705</v>
      </c>
      <c r="M33" s="105">
        <f t="shared" si="0"/>
        <v>0</v>
      </c>
      <c r="N33" s="105">
        <f t="shared" si="1"/>
        <v>42.59352427498473</v>
      </c>
      <c r="O33" s="25">
        <v>1550</v>
      </c>
      <c r="P33" s="39">
        <f>'[3]1.RSP Districts '!P33</f>
        <v>1550</v>
      </c>
      <c r="Q33" s="105">
        <f t="shared" si="2"/>
        <v>0</v>
      </c>
      <c r="R33" s="27" t="s">
        <v>3</v>
      </c>
      <c r="S33" s="1">
        <v>1</v>
      </c>
    </row>
    <row r="34" spans="1:19" ht="14.25" x14ac:dyDescent="0.2">
      <c r="A34" s="23">
        <v>25</v>
      </c>
      <c r="B34" s="24" t="s">
        <v>193</v>
      </c>
      <c r="C34" s="25">
        <v>47</v>
      </c>
      <c r="D34" s="39">
        <v>5</v>
      </c>
      <c r="E34" s="39">
        <f>'[3]1.RSP Districts '!E34</f>
        <v>5</v>
      </c>
      <c r="F34" s="105">
        <f t="shared" si="4"/>
        <v>0</v>
      </c>
      <c r="G34" s="105">
        <f t="shared" si="3"/>
        <v>10.638297872340425</v>
      </c>
      <c r="H34" s="39">
        <v>0</v>
      </c>
      <c r="I34" s="39">
        <f>'[3]1.RSP Districts '!I34</f>
        <v>0</v>
      </c>
      <c r="J34" s="172">
        <v>25232</v>
      </c>
      <c r="K34" s="39">
        <v>939</v>
      </c>
      <c r="L34" s="39">
        <f>'[3]1.RSP Districts '!L34</f>
        <v>939</v>
      </c>
      <c r="M34" s="105">
        <f t="shared" si="0"/>
        <v>0</v>
      </c>
      <c r="N34" s="105">
        <f t="shared" si="1"/>
        <v>3.7214648065948004</v>
      </c>
      <c r="O34" s="25">
        <v>88</v>
      </c>
      <c r="P34" s="39">
        <f>'[3]1.RSP Districts '!P34</f>
        <v>88</v>
      </c>
      <c r="Q34" s="105">
        <f t="shared" si="2"/>
        <v>0</v>
      </c>
      <c r="R34" s="81" t="s">
        <v>3</v>
      </c>
      <c r="S34" s="1">
        <v>1</v>
      </c>
    </row>
    <row r="35" spans="1:19" ht="14.25" x14ac:dyDescent="0.2">
      <c r="A35" s="23">
        <v>26</v>
      </c>
      <c r="B35" s="24" t="s">
        <v>55</v>
      </c>
      <c r="C35" s="25">
        <v>7</v>
      </c>
      <c r="D35" s="39">
        <v>7</v>
      </c>
      <c r="E35" s="39">
        <f>'[3]1.RSP Districts '!E35</f>
        <v>7</v>
      </c>
      <c r="F35" s="105">
        <f t="shared" si="4"/>
        <v>0</v>
      </c>
      <c r="G35" s="105">
        <f t="shared" si="3"/>
        <v>99.999999999999986</v>
      </c>
      <c r="H35" s="39">
        <v>38</v>
      </c>
      <c r="I35" s="39">
        <f>'[3]1.RSP Districts '!I35</f>
        <v>38</v>
      </c>
      <c r="J35" s="25">
        <v>10608.311688311687</v>
      </c>
      <c r="K35" s="39">
        <v>2520</v>
      </c>
      <c r="L35" s="39">
        <f>'[3]1.RSP Districts '!L35</f>
        <v>2520</v>
      </c>
      <c r="M35" s="105">
        <f t="shared" si="0"/>
        <v>0</v>
      </c>
      <c r="N35" s="105">
        <f t="shared" si="1"/>
        <v>23.754958131335393</v>
      </c>
      <c r="O35" s="25">
        <v>118</v>
      </c>
      <c r="P35" s="39">
        <f>'[3]1.RSP Districts '!P35</f>
        <v>118</v>
      </c>
      <c r="Q35" s="105">
        <f t="shared" si="2"/>
        <v>0</v>
      </c>
      <c r="R35" s="27" t="s">
        <v>3</v>
      </c>
      <c r="S35" s="1">
        <v>1</v>
      </c>
    </row>
    <row r="36" spans="1:19" ht="14.25" x14ac:dyDescent="0.2">
      <c r="A36" s="23">
        <v>27</v>
      </c>
      <c r="B36" s="24" t="s">
        <v>190</v>
      </c>
      <c r="C36" s="25">
        <v>11</v>
      </c>
      <c r="D36" s="39">
        <v>0</v>
      </c>
      <c r="E36" s="39"/>
      <c r="F36" s="105">
        <v>0</v>
      </c>
      <c r="G36" s="105">
        <f t="shared" si="3"/>
        <v>0</v>
      </c>
      <c r="H36" s="105"/>
      <c r="I36" s="105"/>
      <c r="J36" s="172">
        <v>19815</v>
      </c>
      <c r="K36" s="25"/>
      <c r="L36" s="25"/>
      <c r="M36" s="105">
        <v>0</v>
      </c>
      <c r="N36" s="105">
        <v>0</v>
      </c>
      <c r="O36" s="25"/>
      <c r="P36" s="26"/>
      <c r="Q36" s="105">
        <v>0</v>
      </c>
      <c r="R36" s="81">
        <v>0</v>
      </c>
      <c r="S36" s="1">
        <v>1</v>
      </c>
    </row>
    <row r="37" spans="1:19" ht="14.25" x14ac:dyDescent="0.2">
      <c r="A37" s="23">
        <v>28</v>
      </c>
      <c r="B37" s="24" t="s">
        <v>191</v>
      </c>
      <c r="C37" s="25">
        <v>9</v>
      </c>
      <c r="D37" s="39">
        <v>0</v>
      </c>
      <c r="E37" s="39"/>
      <c r="F37" s="105">
        <v>0</v>
      </c>
      <c r="G37" s="105">
        <f t="shared" si="3"/>
        <v>0</v>
      </c>
      <c r="H37" s="105"/>
      <c r="I37" s="105"/>
      <c r="J37" s="172">
        <v>18421.875</v>
      </c>
      <c r="K37" s="25"/>
      <c r="L37" s="25"/>
      <c r="M37" s="105">
        <v>0</v>
      </c>
      <c r="N37" s="105">
        <v>0</v>
      </c>
      <c r="O37" s="25"/>
      <c r="P37" s="26"/>
      <c r="Q37" s="105">
        <v>0</v>
      </c>
      <c r="R37" s="81">
        <v>0</v>
      </c>
      <c r="S37" s="1">
        <v>1</v>
      </c>
    </row>
    <row r="38" spans="1:19" ht="14.25" x14ac:dyDescent="0.2">
      <c r="A38" s="23">
        <v>29</v>
      </c>
      <c r="B38" s="24" t="s">
        <v>56</v>
      </c>
      <c r="C38" s="25">
        <v>21</v>
      </c>
      <c r="D38" s="39">
        <v>21</v>
      </c>
      <c r="E38" s="39">
        <f>'[3]1.RSP Districts '!E38</f>
        <v>21</v>
      </c>
      <c r="F38" s="105">
        <f t="shared" si="4"/>
        <v>0</v>
      </c>
      <c r="G38" s="105">
        <f t="shared" si="3"/>
        <v>100</v>
      </c>
      <c r="H38" s="39">
        <v>141</v>
      </c>
      <c r="I38" s="39">
        <f>'[3]1.RSP Districts '!I38</f>
        <v>141</v>
      </c>
      <c r="J38" s="25">
        <v>21117.688311688311</v>
      </c>
      <c r="K38" s="39">
        <v>21575</v>
      </c>
      <c r="L38" s="39">
        <f>'[3]1.RSP Districts '!L38</f>
        <v>21575</v>
      </c>
      <c r="M38" s="105">
        <f t="shared" si="0"/>
        <v>0</v>
      </c>
      <c r="N38" s="105">
        <f t="shared" si="1"/>
        <v>102.16553858339965</v>
      </c>
      <c r="O38" s="25">
        <v>1257</v>
      </c>
      <c r="P38" s="39">
        <f>'[3]1.RSP Districts '!P38</f>
        <v>1257</v>
      </c>
      <c r="Q38" s="105">
        <f t="shared" si="2"/>
        <v>0</v>
      </c>
      <c r="R38" s="27" t="s">
        <v>3</v>
      </c>
      <c r="S38" s="1">
        <v>1</v>
      </c>
    </row>
    <row r="39" spans="1:19" thickBot="1" x14ac:dyDescent="0.25">
      <c r="A39" s="37">
        <v>30</v>
      </c>
      <c r="B39" s="38" t="s">
        <v>192</v>
      </c>
      <c r="C39" s="39">
        <v>10</v>
      </c>
      <c r="D39" s="39">
        <v>0</v>
      </c>
      <c r="E39" s="39"/>
      <c r="F39" s="139">
        <v>0</v>
      </c>
      <c r="G39" s="139">
        <f t="shared" si="3"/>
        <v>0</v>
      </c>
      <c r="H39" s="139"/>
      <c r="I39" s="139"/>
      <c r="J39" s="172">
        <v>4609</v>
      </c>
      <c r="K39" s="25"/>
      <c r="L39" s="39"/>
      <c r="M39" s="139">
        <v>0</v>
      </c>
      <c r="N39" s="139">
        <v>0</v>
      </c>
      <c r="O39" s="25"/>
      <c r="P39" s="41"/>
      <c r="Q39" s="139">
        <v>0</v>
      </c>
      <c r="R39" s="90">
        <v>0</v>
      </c>
      <c r="S39" s="1">
        <v>1</v>
      </c>
    </row>
    <row r="40" spans="1:19" s="5" customFormat="1" ht="15.75" thickBot="1" x14ac:dyDescent="0.3">
      <c r="A40" s="155">
        <f>COUNTIF(R10:R39,"*")</f>
        <v>19</v>
      </c>
      <c r="B40" s="154" t="s">
        <v>39</v>
      </c>
      <c r="C40" s="57">
        <f>SUM(C10:C39)</f>
        <v>547</v>
      </c>
      <c r="D40" s="57">
        <f>SUM(D10:D39)</f>
        <v>279</v>
      </c>
      <c r="E40" s="57">
        <f>SUM(E10:E39)</f>
        <v>279</v>
      </c>
      <c r="F40" s="156">
        <f t="shared" si="4"/>
        <v>0</v>
      </c>
      <c r="G40" s="156">
        <f t="shared" si="3"/>
        <v>51.005484460694703</v>
      </c>
      <c r="H40" s="156">
        <f>SUM(H10:H39)</f>
        <v>2362</v>
      </c>
      <c r="I40" s="156">
        <f>SUM(I10:I39)</f>
        <v>2362</v>
      </c>
      <c r="J40" s="57">
        <f>SUM(J10:J39)</f>
        <v>814191</v>
      </c>
      <c r="K40" s="57">
        <f>SUM(K10:K39)</f>
        <v>285272</v>
      </c>
      <c r="L40" s="57">
        <f>SUM(L10:L39)</f>
        <v>287222</v>
      </c>
      <c r="M40" s="156">
        <f t="shared" si="0"/>
        <v>0.68355814801312431</v>
      </c>
      <c r="N40" s="156">
        <f t="shared" si="1"/>
        <v>35.276980462815239</v>
      </c>
      <c r="O40" s="57">
        <f>SUM(O10:O39)</f>
        <v>16331</v>
      </c>
      <c r="P40" s="57">
        <f>SUM(P10:P39)</f>
        <v>16442</v>
      </c>
      <c r="Q40" s="156">
        <f t="shared" si="2"/>
        <v>0.67968893515400153</v>
      </c>
      <c r="R40" s="158"/>
      <c r="S40" s="1">
        <v>1</v>
      </c>
    </row>
    <row r="41" spans="1:19" ht="5.25" customHeight="1" thickBot="1" x14ac:dyDescent="0.25">
      <c r="A41" s="91"/>
      <c r="B41" s="92"/>
      <c r="C41" s="46"/>
      <c r="D41" s="46"/>
      <c r="E41" s="46"/>
      <c r="F41" s="108"/>
      <c r="G41" s="108"/>
      <c r="H41" s="108"/>
      <c r="I41" s="108"/>
      <c r="J41" s="46"/>
      <c r="K41" s="46"/>
      <c r="L41" s="46"/>
      <c r="M41" s="46"/>
      <c r="N41" s="46"/>
      <c r="O41" s="46"/>
      <c r="P41" s="46"/>
      <c r="Q41" s="46"/>
      <c r="R41" s="93"/>
      <c r="S41" s="1">
        <v>1</v>
      </c>
    </row>
    <row r="42" spans="1:19" s="6" customFormat="1" ht="14.25" x14ac:dyDescent="0.2">
      <c r="A42" s="18" t="s">
        <v>57</v>
      </c>
      <c r="B42" s="19"/>
      <c r="C42" s="20"/>
      <c r="D42" s="29"/>
      <c r="E42" s="29"/>
      <c r="F42" s="107"/>
      <c r="G42" s="107"/>
      <c r="H42" s="107"/>
      <c r="I42" s="107"/>
      <c r="J42" s="20"/>
      <c r="K42" s="29"/>
      <c r="L42" s="29"/>
      <c r="M42" s="29"/>
      <c r="N42" s="29"/>
      <c r="O42" s="29"/>
      <c r="P42" s="29"/>
      <c r="Q42" s="29"/>
      <c r="R42" s="22"/>
      <c r="S42" s="1">
        <v>1</v>
      </c>
    </row>
    <row r="43" spans="1:19" ht="14.25" x14ac:dyDescent="0.2">
      <c r="A43" s="23">
        <v>1</v>
      </c>
      <c r="B43" s="24" t="s">
        <v>58</v>
      </c>
      <c r="C43" s="25">
        <v>51</v>
      </c>
      <c r="D43" s="25">
        <v>51</v>
      </c>
      <c r="E43" s="25">
        <f>'[4]1.RSP Districts '!E43</f>
        <v>51</v>
      </c>
      <c r="F43" s="105">
        <f t="shared" ref="F43:F77" si="5">(E43-D43)/D43%</f>
        <v>0</v>
      </c>
      <c r="G43" s="105">
        <f t="shared" ref="G43:G77" si="6">E43/C43%</f>
        <v>100</v>
      </c>
      <c r="H43" s="25">
        <v>189</v>
      </c>
      <c r="I43" s="25">
        <f>'[4]1.RSP Districts '!I43</f>
        <v>189</v>
      </c>
      <c r="J43" s="25">
        <v>115585</v>
      </c>
      <c r="K43" s="25">
        <v>48996</v>
      </c>
      <c r="L43" s="25">
        <f>'[4]1.RSP Districts '!L43</f>
        <v>48996</v>
      </c>
      <c r="M43" s="105">
        <f t="shared" ref="M43:M77" si="7">(L43-K43)/K43%</f>
        <v>0</v>
      </c>
      <c r="N43" s="105">
        <f t="shared" ref="N43:N77" si="8">L43/J43%</f>
        <v>42.389583423454603</v>
      </c>
      <c r="O43" s="25">
        <v>1650</v>
      </c>
      <c r="P43" s="25">
        <f>'[4]1.RSP Districts '!P43</f>
        <v>1650</v>
      </c>
      <c r="Q43" s="105">
        <f t="shared" ref="Q43:Q77" si="9">(P43-O43)/O43%</f>
        <v>0</v>
      </c>
      <c r="R43" s="27" t="s">
        <v>9</v>
      </c>
      <c r="S43" s="1">
        <v>1</v>
      </c>
    </row>
    <row r="44" spans="1:19" ht="14.25" x14ac:dyDescent="0.2">
      <c r="A44" s="23">
        <v>2</v>
      </c>
      <c r="B44" s="24" t="s">
        <v>206</v>
      </c>
      <c r="C44" s="25">
        <v>49</v>
      </c>
      <c r="D44" s="25">
        <v>0</v>
      </c>
      <c r="E44" s="25">
        <v>0</v>
      </c>
      <c r="F44" s="105">
        <v>0</v>
      </c>
      <c r="G44" s="105">
        <f t="shared" si="6"/>
        <v>0</v>
      </c>
      <c r="H44" s="105">
        <v>0</v>
      </c>
      <c r="I44" s="105">
        <v>0</v>
      </c>
      <c r="J44" s="172">
        <v>65010</v>
      </c>
      <c r="K44" s="25">
        <v>0</v>
      </c>
      <c r="L44" s="25">
        <v>0</v>
      </c>
      <c r="M44" s="105">
        <v>0</v>
      </c>
      <c r="N44" s="105">
        <v>0</v>
      </c>
      <c r="O44" s="25">
        <v>0</v>
      </c>
      <c r="P44" s="26">
        <v>0</v>
      </c>
      <c r="Q44" s="105">
        <v>0</v>
      </c>
      <c r="R44" s="81">
        <v>0</v>
      </c>
      <c r="S44" s="1">
        <v>1</v>
      </c>
    </row>
    <row r="45" spans="1:19" ht="14.25" x14ac:dyDescent="0.2">
      <c r="A45" s="23">
        <v>3</v>
      </c>
      <c r="B45" s="24" t="s">
        <v>59</v>
      </c>
      <c r="C45" s="25">
        <v>20</v>
      </c>
      <c r="D45" s="25">
        <v>20</v>
      </c>
      <c r="E45" s="25">
        <f>'[4]1.RSP Districts '!E45</f>
        <v>20</v>
      </c>
      <c r="F45" s="105">
        <f t="shared" si="5"/>
        <v>0</v>
      </c>
      <c r="G45" s="105">
        <f t="shared" si="6"/>
        <v>100</v>
      </c>
      <c r="H45" s="25">
        <v>104</v>
      </c>
      <c r="I45" s="25">
        <f>'[4]1.RSP Districts '!I45</f>
        <v>104</v>
      </c>
      <c r="J45" s="25">
        <v>46053</v>
      </c>
      <c r="K45" s="25">
        <v>36596</v>
      </c>
      <c r="L45" s="25">
        <f>'[4]1.RSP Districts '!L45</f>
        <v>36596</v>
      </c>
      <c r="M45" s="105">
        <f t="shared" si="7"/>
        <v>0</v>
      </c>
      <c r="N45" s="105">
        <f t="shared" si="8"/>
        <v>79.464964280285756</v>
      </c>
      <c r="O45" s="25">
        <v>1502</v>
      </c>
      <c r="P45" s="25">
        <f>'[4]1.RSP Districts '!P45</f>
        <v>1502</v>
      </c>
      <c r="Q45" s="105">
        <f t="shared" si="9"/>
        <v>0</v>
      </c>
      <c r="R45" s="27" t="s">
        <v>9</v>
      </c>
      <c r="S45" s="1">
        <v>1</v>
      </c>
    </row>
    <row r="46" spans="1:19" ht="14.25" x14ac:dyDescent="0.2">
      <c r="A46" s="23">
        <v>4</v>
      </c>
      <c r="B46" s="24" t="s">
        <v>60</v>
      </c>
      <c r="C46" s="25">
        <v>27</v>
      </c>
      <c r="D46" s="25">
        <v>5</v>
      </c>
      <c r="E46" s="39">
        <v>5</v>
      </c>
      <c r="F46" s="105">
        <f t="shared" si="5"/>
        <v>0</v>
      </c>
      <c r="G46" s="105">
        <f t="shared" si="6"/>
        <v>18.518518518518519</v>
      </c>
      <c r="H46" s="39">
        <v>167</v>
      </c>
      <c r="I46" s="39">
        <v>167</v>
      </c>
      <c r="J46" s="25">
        <v>56591</v>
      </c>
      <c r="K46" s="39">
        <v>269</v>
      </c>
      <c r="L46" s="39">
        <f>'[2]1.RSP Districts '!L46</f>
        <v>269</v>
      </c>
      <c r="M46" s="105">
        <f t="shared" si="7"/>
        <v>0</v>
      </c>
      <c r="N46" s="105">
        <f t="shared" si="8"/>
        <v>0.475340601862487</v>
      </c>
      <c r="O46" s="25">
        <v>19</v>
      </c>
      <c r="P46" s="39">
        <f>'[2]1.RSP Districts '!P46</f>
        <v>19</v>
      </c>
      <c r="Q46" s="105">
        <f t="shared" si="9"/>
        <v>0</v>
      </c>
      <c r="R46" s="27" t="s">
        <v>5</v>
      </c>
      <c r="S46" s="1">
        <v>1</v>
      </c>
    </row>
    <row r="47" spans="1:19" ht="14.25" x14ac:dyDescent="0.2">
      <c r="A47" s="23">
        <v>4</v>
      </c>
      <c r="B47" s="24" t="s">
        <v>61</v>
      </c>
      <c r="C47" s="25">
        <v>27</v>
      </c>
      <c r="D47" s="25">
        <v>21</v>
      </c>
      <c r="E47" s="25">
        <f>'[4]1.RSP Districts '!E47</f>
        <v>21</v>
      </c>
      <c r="F47" s="105">
        <f t="shared" si="5"/>
        <v>0</v>
      </c>
      <c r="G47" s="105">
        <f t="shared" si="6"/>
        <v>77.777777777777771</v>
      </c>
      <c r="H47" s="25">
        <v>54</v>
      </c>
      <c r="I47" s="25">
        <f>'[4]1.RSP Districts '!I47</f>
        <v>54</v>
      </c>
      <c r="J47" s="25">
        <v>56591</v>
      </c>
      <c r="K47" s="25">
        <v>4358</v>
      </c>
      <c r="L47" s="25">
        <f>'[4]1.RSP Districts '!L47</f>
        <v>7822</v>
      </c>
      <c r="M47" s="105">
        <f t="shared" si="7"/>
        <v>79.486002753556676</v>
      </c>
      <c r="N47" s="105">
        <f t="shared" si="8"/>
        <v>13.821985828135217</v>
      </c>
      <c r="O47" s="25">
        <v>190</v>
      </c>
      <c r="P47" s="25">
        <f>'[4]1.RSP Districts '!P47</f>
        <v>339</v>
      </c>
      <c r="Q47" s="105">
        <f t="shared" si="9"/>
        <v>78.421052631578945</v>
      </c>
      <c r="R47" s="27" t="s">
        <v>9</v>
      </c>
      <c r="S47" s="1">
        <v>1</v>
      </c>
    </row>
    <row r="48" spans="1:19" ht="14.25" x14ac:dyDescent="0.2">
      <c r="A48" s="23">
        <v>5</v>
      </c>
      <c r="B48" s="24" t="s">
        <v>62</v>
      </c>
      <c r="C48" s="25">
        <v>49</v>
      </c>
      <c r="D48" s="25">
        <v>28</v>
      </c>
      <c r="E48" s="39">
        <v>28</v>
      </c>
      <c r="F48" s="105">
        <f t="shared" si="5"/>
        <v>0</v>
      </c>
      <c r="G48" s="105">
        <f t="shared" si="6"/>
        <v>57.142857142857146</v>
      </c>
      <c r="H48" s="39">
        <v>226</v>
      </c>
      <c r="I48" s="39">
        <v>226</v>
      </c>
      <c r="J48" s="25">
        <v>102361</v>
      </c>
      <c r="K48" s="39">
        <v>12926</v>
      </c>
      <c r="L48" s="39">
        <f>'[2]1.RSP Districts '!L48</f>
        <v>12926</v>
      </c>
      <c r="M48" s="105">
        <f t="shared" si="7"/>
        <v>0</v>
      </c>
      <c r="N48" s="105">
        <f t="shared" si="8"/>
        <v>12.627856312462754</v>
      </c>
      <c r="O48" s="25">
        <v>736</v>
      </c>
      <c r="P48" s="39">
        <f>'[2]1.RSP Districts '!P48</f>
        <v>736</v>
      </c>
      <c r="Q48" s="105">
        <f t="shared" si="9"/>
        <v>0</v>
      </c>
      <c r="R48" s="27" t="s">
        <v>5</v>
      </c>
      <c r="S48" s="1">
        <v>1</v>
      </c>
    </row>
    <row r="49" spans="1:19" ht="14.25" x14ac:dyDescent="0.2">
      <c r="A49" s="23">
        <v>5</v>
      </c>
      <c r="B49" s="24" t="s">
        <v>63</v>
      </c>
      <c r="C49" s="25">
        <v>49</v>
      </c>
      <c r="D49" s="25">
        <v>37</v>
      </c>
      <c r="E49" s="25">
        <f>'[4]1.RSP Districts '!E49</f>
        <v>37</v>
      </c>
      <c r="F49" s="105">
        <f t="shared" si="5"/>
        <v>0</v>
      </c>
      <c r="G49" s="105">
        <f t="shared" si="6"/>
        <v>75.510204081632651</v>
      </c>
      <c r="H49" s="25">
        <v>68</v>
      </c>
      <c r="I49" s="25">
        <f>'[4]1.RSP Districts '!I49</f>
        <v>68</v>
      </c>
      <c r="J49" s="25">
        <v>102361</v>
      </c>
      <c r="K49" s="25">
        <v>37933</v>
      </c>
      <c r="L49" s="25">
        <f>'[4]1.RSP Districts '!L49</f>
        <v>37933</v>
      </c>
      <c r="M49" s="105">
        <f t="shared" si="7"/>
        <v>0</v>
      </c>
      <c r="N49" s="105">
        <f t="shared" si="8"/>
        <v>37.058059221773917</v>
      </c>
      <c r="O49" s="25">
        <v>1577</v>
      </c>
      <c r="P49" s="25">
        <f>'[4]1.RSP Districts '!P49</f>
        <v>1577</v>
      </c>
      <c r="Q49" s="105">
        <f t="shared" si="9"/>
        <v>0</v>
      </c>
      <c r="R49" s="27" t="s">
        <v>9</v>
      </c>
      <c r="S49" s="1">
        <v>1</v>
      </c>
    </row>
    <row r="50" spans="1:19" ht="14.25" x14ac:dyDescent="0.2">
      <c r="A50" s="23">
        <v>6</v>
      </c>
      <c r="B50" s="24" t="s">
        <v>64</v>
      </c>
      <c r="C50" s="25">
        <v>24</v>
      </c>
      <c r="D50" s="25">
        <v>24</v>
      </c>
      <c r="E50" s="25">
        <f>'[5]1.RSP Districts '!D50</f>
        <v>24</v>
      </c>
      <c r="F50" s="105">
        <f t="shared" si="5"/>
        <v>0</v>
      </c>
      <c r="G50" s="105">
        <f t="shared" si="6"/>
        <v>100</v>
      </c>
      <c r="H50" s="25">
        <v>378</v>
      </c>
      <c r="I50" s="25">
        <f>'[5]1.RSP Districts '!H50</f>
        <v>378</v>
      </c>
      <c r="J50" s="25">
        <v>36879</v>
      </c>
      <c r="K50" s="25">
        <v>34914</v>
      </c>
      <c r="L50" s="25">
        <f>'[5]1.RSP Districts '!L50</f>
        <v>34914</v>
      </c>
      <c r="M50" s="105">
        <f t="shared" si="7"/>
        <v>0</v>
      </c>
      <c r="N50" s="105">
        <f t="shared" si="8"/>
        <v>94.671764418774913</v>
      </c>
      <c r="O50" s="25">
        <v>1680</v>
      </c>
      <c r="P50" s="25">
        <f>'[5]1.RSP Districts '!$P$50</f>
        <v>1680</v>
      </c>
      <c r="Q50" s="105">
        <f t="shared" si="9"/>
        <v>0</v>
      </c>
      <c r="R50" s="27" t="s">
        <v>2</v>
      </c>
      <c r="S50" s="1">
        <v>1</v>
      </c>
    </row>
    <row r="51" spans="1:19" ht="14.25" x14ac:dyDescent="0.2">
      <c r="A51" s="23">
        <v>6</v>
      </c>
      <c r="B51" s="24" t="s">
        <v>65</v>
      </c>
      <c r="C51" s="25">
        <v>24</v>
      </c>
      <c r="D51" s="25">
        <v>24</v>
      </c>
      <c r="E51" s="25">
        <f>'[4]1.RSP Districts '!E51</f>
        <v>24</v>
      </c>
      <c r="F51" s="105">
        <f t="shared" si="5"/>
        <v>0</v>
      </c>
      <c r="G51" s="105">
        <f t="shared" si="6"/>
        <v>100</v>
      </c>
      <c r="H51" s="25">
        <v>523</v>
      </c>
      <c r="I51" s="25">
        <f>'[4]1.RSP Districts '!I51</f>
        <v>523</v>
      </c>
      <c r="J51" s="25">
        <v>36879</v>
      </c>
      <c r="K51" s="25">
        <v>25233</v>
      </c>
      <c r="L51" s="25">
        <f>'[4]1.RSP Districts '!L51</f>
        <v>25233</v>
      </c>
      <c r="M51" s="105">
        <f t="shared" si="7"/>
        <v>0</v>
      </c>
      <c r="N51" s="105">
        <f t="shared" si="8"/>
        <v>68.421052631578945</v>
      </c>
      <c r="O51" s="25">
        <v>805</v>
      </c>
      <c r="P51" s="25">
        <f>'[4]1.RSP Districts '!P51</f>
        <v>805</v>
      </c>
      <c r="Q51" s="105">
        <f t="shared" si="9"/>
        <v>0</v>
      </c>
      <c r="R51" s="27" t="s">
        <v>9</v>
      </c>
      <c r="S51" s="1">
        <v>1</v>
      </c>
    </row>
    <row r="52" spans="1:19" ht="14.25" x14ac:dyDescent="0.2">
      <c r="A52" s="23">
        <v>7</v>
      </c>
      <c r="B52" s="24" t="s">
        <v>66</v>
      </c>
      <c r="C52" s="25">
        <v>28</v>
      </c>
      <c r="D52" s="25">
        <v>21</v>
      </c>
      <c r="E52" s="25">
        <f>'[4]1.RSP Districts '!E52</f>
        <v>21</v>
      </c>
      <c r="F52" s="105">
        <f t="shared" si="5"/>
        <v>0</v>
      </c>
      <c r="G52" s="105">
        <f t="shared" si="6"/>
        <v>74.999999999999986</v>
      </c>
      <c r="H52" s="25">
        <v>259</v>
      </c>
      <c r="I52" s="25">
        <f>'[4]1.RSP Districts '!I52</f>
        <v>259</v>
      </c>
      <c r="J52" s="25">
        <v>70230</v>
      </c>
      <c r="K52" s="25">
        <v>29231</v>
      </c>
      <c r="L52" s="25">
        <f>'[4]1.RSP Districts '!L52</f>
        <v>29231</v>
      </c>
      <c r="M52" s="105">
        <f t="shared" si="7"/>
        <v>0</v>
      </c>
      <c r="N52" s="105">
        <f t="shared" si="8"/>
        <v>41.621814039584223</v>
      </c>
      <c r="O52" s="25">
        <v>1482</v>
      </c>
      <c r="P52" s="25">
        <f>'[4]1.RSP Districts '!P52</f>
        <v>1482</v>
      </c>
      <c r="Q52" s="105">
        <f t="shared" si="9"/>
        <v>0</v>
      </c>
      <c r="R52" s="27" t="s">
        <v>9</v>
      </c>
      <c r="S52" s="1">
        <v>1</v>
      </c>
    </row>
    <row r="53" spans="1:19" ht="14.25" x14ac:dyDescent="0.2">
      <c r="A53" s="23">
        <v>8</v>
      </c>
      <c r="B53" s="24" t="s">
        <v>207</v>
      </c>
      <c r="C53" s="25">
        <v>37</v>
      </c>
      <c r="D53" s="25">
        <v>0</v>
      </c>
      <c r="E53" s="25">
        <f>'[4]1.RSP Districts '!E53</f>
        <v>0</v>
      </c>
      <c r="F53" s="105">
        <v>0</v>
      </c>
      <c r="G53" s="105">
        <f t="shared" si="6"/>
        <v>0</v>
      </c>
      <c r="H53" s="25">
        <v>0</v>
      </c>
      <c r="I53" s="25">
        <f>'[4]1.RSP Districts '!I53</f>
        <v>0</v>
      </c>
      <c r="J53" s="172">
        <v>73626</v>
      </c>
      <c r="K53" s="25">
        <v>0</v>
      </c>
      <c r="L53" s="25">
        <f>'[4]1.RSP Districts '!L53</f>
        <v>9820</v>
      </c>
      <c r="M53" s="105">
        <v>0</v>
      </c>
      <c r="N53" s="105">
        <v>0</v>
      </c>
      <c r="O53" s="25">
        <v>0</v>
      </c>
      <c r="P53" s="25">
        <f>'[4]1.RSP Districts '!P53</f>
        <v>439</v>
      </c>
      <c r="Q53" s="105">
        <v>0</v>
      </c>
      <c r="R53" s="81" t="s">
        <v>9</v>
      </c>
      <c r="S53" s="1">
        <v>1</v>
      </c>
    </row>
    <row r="54" spans="1:19" ht="14.25" x14ac:dyDescent="0.2">
      <c r="A54" s="23">
        <v>9</v>
      </c>
      <c r="B54" s="24" t="s">
        <v>208</v>
      </c>
      <c r="C54" s="25">
        <v>47</v>
      </c>
      <c r="D54" s="25">
        <v>0</v>
      </c>
      <c r="E54" s="25">
        <f>'[4]1.RSP Districts '!E54</f>
        <v>0</v>
      </c>
      <c r="F54" s="105">
        <v>0</v>
      </c>
      <c r="G54" s="105">
        <f t="shared" si="6"/>
        <v>0</v>
      </c>
      <c r="H54" s="25">
        <v>0</v>
      </c>
      <c r="I54" s="25">
        <f>'[4]1.RSP Districts '!I54</f>
        <v>0</v>
      </c>
      <c r="J54" s="172">
        <v>99528</v>
      </c>
      <c r="K54" s="25">
        <v>0</v>
      </c>
      <c r="L54" s="25">
        <f>'[4]1.RSP Districts '!L54</f>
        <v>1125</v>
      </c>
      <c r="M54" s="105">
        <v>0</v>
      </c>
      <c r="N54" s="105">
        <v>0</v>
      </c>
      <c r="O54" s="25">
        <v>0</v>
      </c>
      <c r="P54" s="25">
        <f>'[4]1.RSP Districts '!P54</f>
        <v>47</v>
      </c>
      <c r="Q54" s="105">
        <v>0</v>
      </c>
      <c r="R54" s="81" t="s">
        <v>9</v>
      </c>
      <c r="S54" s="1">
        <v>1</v>
      </c>
    </row>
    <row r="55" spans="1:19" ht="14.25" x14ac:dyDescent="0.2">
      <c r="A55" s="23">
        <v>10</v>
      </c>
      <c r="B55" s="24" t="s">
        <v>67</v>
      </c>
      <c r="C55" s="25">
        <v>19</v>
      </c>
      <c r="D55" s="25">
        <v>17</v>
      </c>
      <c r="E55" s="25">
        <f>'[4]1.RSP Districts '!E55</f>
        <v>17</v>
      </c>
      <c r="F55" s="105">
        <f t="shared" si="5"/>
        <v>0</v>
      </c>
      <c r="G55" s="105">
        <f t="shared" si="6"/>
        <v>89.473684210526315</v>
      </c>
      <c r="H55" s="25">
        <v>337</v>
      </c>
      <c r="I55" s="25">
        <f>'[4]1.RSP Districts '!I55</f>
        <v>337</v>
      </c>
      <c r="J55" s="25">
        <v>24536</v>
      </c>
      <c r="K55" s="25">
        <v>14204</v>
      </c>
      <c r="L55" s="25">
        <f>'[4]1.RSP Districts '!L55</f>
        <v>14204</v>
      </c>
      <c r="M55" s="105">
        <f t="shared" si="7"/>
        <v>0</v>
      </c>
      <c r="N55" s="105">
        <f t="shared" si="8"/>
        <v>57.890446690577107</v>
      </c>
      <c r="O55" s="25">
        <v>505</v>
      </c>
      <c r="P55" s="25">
        <f>'[4]1.RSP Districts '!P55</f>
        <v>505</v>
      </c>
      <c r="Q55" s="105">
        <f t="shared" si="9"/>
        <v>0</v>
      </c>
      <c r="R55" s="27" t="s">
        <v>9</v>
      </c>
      <c r="S55" s="1">
        <v>1</v>
      </c>
    </row>
    <row r="56" spans="1:19" ht="14.25" x14ac:dyDescent="0.2">
      <c r="A56" s="23">
        <v>11</v>
      </c>
      <c r="B56" s="24" t="s">
        <v>68</v>
      </c>
      <c r="C56" s="25">
        <v>45</v>
      </c>
      <c r="D56" s="25">
        <v>4</v>
      </c>
      <c r="E56" s="25">
        <v>4</v>
      </c>
      <c r="F56" s="105">
        <f t="shared" si="5"/>
        <v>0</v>
      </c>
      <c r="G56" s="105">
        <f t="shared" si="6"/>
        <v>8.8888888888888893</v>
      </c>
      <c r="H56" s="25">
        <v>22</v>
      </c>
      <c r="I56" s="25">
        <f>'[6]1.RSP Districts '!I56</f>
        <v>22</v>
      </c>
      <c r="J56" s="25">
        <v>94383</v>
      </c>
      <c r="K56" s="25">
        <v>7319</v>
      </c>
      <c r="L56" s="25">
        <f>'[7]1.RSP Districts '!L56</f>
        <v>7591</v>
      </c>
      <c r="M56" s="105">
        <f t="shared" si="7"/>
        <v>3.7163546932641074</v>
      </c>
      <c r="N56" s="105">
        <f t="shared" si="8"/>
        <v>8.0427619380608792</v>
      </c>
      <c r="O56" s="25">
        <v>730</v>
      </c>
      <c r="P56" s="25">
        <f>'[7]1.RSP Districts '!P56</f>
        <v>733</v>
      </c>
      <c r="Q56" s="105">
        <f t="shared" si="9"/>
        <v>0.41095890410958907</v>
      </c>
      <c r="R56" s="27" t="s">
        <v>4</v>
      </c>
      <c r="S56" s="1">
        <v>1</v>
      </c>
    </row>
    <row r="57" spans="1:19" ht="14.25" x14ac:dyDescent="0.2">
      <c r="A57" s="23">
        <v>11</v>
      </c>
      <c r="B57" s="24" t="s">
        <v>69</v>
      </c>
      <c r="C57" s="25">
        <v>45</v>
      </c>
      <c r="D57" s="25">
        <v>45</v>
      </c>
      <c r="E57" s="25">
        <f>'[4]1.RSP Districts '!E57</f>
        <v>45</v>
      </c>
      <c r="F57" s="105">
        <f t="shared" si="5"/>
        <v>0</v>
      </c>
      <c r="G57" s="105">
        <f t="shared" si="6"/>
        <v>100</v>
      </c>
      <c r="H57" s="25">
        <v>157</v>
      </c>
      <c r="I57" s="25">
        <f>'[4]1.RSP Districts '!I57</f>
        <v>157</v>
      </c>
      <c r="J57" s="25">
        <v>94383</v>
      </c>
      <c r="K57" s="25">
        <v>41322</v>
      </c>
      <c r="L57" s="25">
        <f>'[4]1.RSP Districts '!L57</f>
        <v>41322</v>
      </c>
      <c r="M57" s="105">
        <f t="shared" si="7"/>
        <v>0</v>
      </c>
      <c r="N57" s="105">
        <f t="shared" si="8"/>
        <v>43.781189409109686</v>
      </c>
      <c r="O57" s="25">
        <v>1331</v>
      </c>
      <c r="P57" s="25">
        <f>'[4]1.RSP Districts '!P57</f>
        <v>1331</v>
      </c>
      <c r="Q57" s="105">
        <f t="shared" si="9"/>
        <v>0</v>
      </c>
      <c r="R57" s="27" t="s">
        <v>9</v>
      </c>
      <c r="S57" s="1">
        <v>1</v>
      </c>
    </row>
    <row r="58" spans="1:19" ht="14.25" x14ac:dyDescent="0.2">
      <c r="A58" s="23">
        <v>11</v>
      </c>
      <c r="B58" s="24" t="s">
        <v>69</v>
      </c>
      <c r="C58" s="25">
        <v>45</v>
      </c>
      <c r="D58" s="25"/>
      <c r="E58" s="25">
        <v>2</v>
      </c>
      <c r="F58" s="105" t="e">
        <f t="shared" si="5"/>
        <v>#DIV/0!</v>
      </c>
      <c r="G58" s="105">
        <f t="shared" si="6"/>
        <v>4.4444444444444446</v>
      </c>
      <c r="H58" s="25">
        <v>0</v>
      </c>
      <c r="I58" s="25">
        <v>16</v>
      </c>
      <c r="J58" s="25">
        <v>94383</v>
      </c>
      <c r="K58" s="25">
        <v>0</v>
      </c>
      <c r="L58" s="39">
        <f>'[2]1.RSP Districts '!L58</f>
        <v>1290</v>
      </c>
      <c r="M58" s="105" t="e">
        <f t="shared" si="7"/>
        <v>#DIV/0!</v>
      </c>
      <c r="N58" s="105">
        <f t="shared" si="8"/>
        <v>1.3667715584374305</v>
      </c>
      <c r="O58" s="25">
        <v>0</v>
      </c>
      <c r="P58" s="39">
        <f>'[2]1.RSP Districts '!P58</f>
        <v>82</v>
      </c>
      <c r="Q58" s="105" t="e">
        <f t="shared" si="9"/>
        <v>#DIV/0!</v>
      </c>
      <c r="R58" s="27" t="s">
        <v>5</v>
      </c>
    </row>
    <row r="59" spans="1:19" ht="14.25" x14ac:dyDescent="0.2">
      <c r="A59" s="23">
        <v>12</v>
      </c>
      <c r="B59" s="24" t="s">
        <v>70</v>
      </c>
      <c r="C59" s="25">
        <v>21</v>
      </c>
      <c r="D59" s="25">
        <v>21</v>
      </c>
      <c r="E59" s="25">
        <f>'[4]1.RSP Districts '!E59</f>
        <v>21</v>
      </c>
      <c r="F59" s="105">
        <f t="shared" si="5"/>
        <v>0</v>
      </c>
      <c r="G59" s="105">
        <f t="shared" si="6"/>
        <v>100</v>
      </c>
      <c r="H59" s="25">
        <v>117</v>
      </c>
      <c r="I59" s="25">
        <f>'[4]1.RSP Districts '!I59</f>
        <v>117</v>
      </c>
      <c r="J59" s="25">
        <v>40734</v>
      </c>
      <c r="K59" s="25">
        <v>49483</v>
      </c>
      <c r="L59" s="25">
        <f>'[4]1.RSP Districts '!L59</f>
        <v>49483</v>
      </c>
      <c r="M59" s="105">
        <f t="shared" si="7"/>
        <v>0</v>
      </c>
      <c r="N59" s="105">
        <f t="shared" si="8"/>
        <v>121.47837187607405</v>
      </c>
      <c r="O59" s="25">
        <v>1997</v>
      </c>
      <c r="P59" s="25">
        <f>'[4]1.RSP Districts '!P59</f>
        <v>1997</v>
      </c>
      <c r="Q59" s="105">
        <f t="shared" si="9"/>
        <v>0</v>
      </c>
      <c r="R59" s="27" t="s">
        <v>9</v>
      </c>
      <c r="S59" s="1">
        <v>1</v>
      </c>
    </row>
    <row r="60" spans="1:19" ht="14.25" x14ac:dyDescent="0.2">
      <c r="A60" s="23">
        <v>13</v>
      </c>
      <c r="B60" s="24" t="s">
        <v>71</v>
      </c>
      <c r="C60" s="25">
        <v>32</v>
      </c>
      <c r="D60" s="25">
        <v>32</v>
      </c>
      <c r="E60" s="25">
        <f>'[4]1.RSP Districts '!E60</f>
        <v>32</v>
      </c>
      <c r="F60" s="105">
        <f t="shared" si="5"/>
        <v>0</v>
      </c>
      <c r="G60" s="105">
        <f t="shared" si="6"/>
        <v>100</v>
      </c>
      <c r="H60" s="25">
        <v>243</v>
      </c>
      <c r="I60" s="25">
        <f>'[4]1.RSP Districts '!I60</f>
        <v>243</v>
      </c>
      <c r="J60" s="25">
        <v>55911</v>
      </c>
      <c r="K60" s="25">
        <v>69685</v>
      </c>
      <c r="L60" s="25">
        <f>'[4]1.RSP Districts '!L60</f>
        <v>69685</v>
      </c>
      <c r="M60" s="105">
        <f t="shared" si="7"/>
        <v>0</v>
      </c>
      <c r="N60" s="105">
        <f t="shared" si="8"/>
        <v>124.6355815492479</v>
      </c>
      <c r="O60" s="25">
        <v>3129</v>
      </c>
      <c r="P60" s="25">
        <f>'[4]1.RSP Districts '!P60</f>
        <v>3129</v>
      </c>
      <c r="Q60" s="105">
        <f t="shared" si="9"/>
        <v>0</v>
      </c>
      <c r="R60" s="27" t="s">
        <v>9</v>
      </c>
      <c r="S60" s="1">
        <v>1</v>
      </c>
    </row>
    <row r="61" spans="1:19" ht="14.25" x14ac:dyDescent="0.2">
      <c r="A61" s="23">
        <v>14</v>
      </c>
      <c r="B61" s="24" t="s">
        <v>72</v>
      </c>
      <c r="C61" s="25">
        <v>38</v>
      </c>
      <c r="D61" s="25">
        <v>38</v>
      </c>
      <c r="E61" s="25">
        <f>'[4]1.RSP Districts '!E61</f>
        <v>38</v>
      </c>
      <c r="F61" s="105">
        <f t="shared" si="5"/>
        <v>0</v>
      </c>
      <c r="G61" s="105">
        <f t="shared" si="6"/>
        <v>100</v>
      </c>
      <c r="H61" s="25">
        <v>132</v>
      </c>
      <c r="I61" s="25">
        <f>'[4]1.RSP Districts '!I61</f>
        <v>132</v>
      </c>
      <c r="J61" s="25">
        <v>74041</v>
      </c>
      <c r="K61" s="25">
        <v>35642</v>
      </c>
      <c r="L61" s="25">
        <f>'[4]1.RSP Districts '!L61</f>
        <v>35642</v>
      </c>
      <c r="M61" s="105">
        <f t="shared" si="7"/>
        <v>0</v>
      </c>
      <c r="N61" s="105">
        <f t="shared" si="8"/>
        <v>48.138193703488611</v>
      </c>
      <c r="O61" s="25">
        <v>2301</v>
      </c>
      <c r="P61" s="25">
        <f>'[4]1.RSP Districts '!P61</f>
        <v>2301</v>
      </c>
      <c r="Q61" s="105">
        <f t="shared" si="9"/>
        <v>0</v>
      </c>
      <c r="R61" s="27" t="s">
        <v>9</v>
      </c>
      <c r="S61" s="1">
        <v>1</v>
      </c>
    </row>
    <row r="62" spans="1:19" ht="14.25" x14ac:dyDescent="0.2">
      <c r="A62" s="23">
        <v>15</v>
      </c>
      <c r="B62" s="24" t="s">
        <v>210</v>
      </c>
      <c r="C62" s="25">
        <v>33</v>
      </c>
      <c r="D62" s="25">
        <v>0</v>
      </c>
      <c r="E62" s="25"/>
      <c r="F62" s="105">
        <v>0</v>
      </c>
      <c r="G62" s="105">
        <f t="shared" si="6"/>
        <v>0</v>
      </c>
      <c r="H62" s="105"/>
      <c r="I62" s="105"/>
      <c r="J62" s="172">
        <v>48700</v>
      </c>
      <c r="K62" s="25"/>
      <c r="L62" s="25"/>
      <c r="M62" s="105">
        <v>0</v>
      </c>
      <c r="N62" s="105">
        <v>0</v>
      </c>
      <c r="O62" s="25"/>
      <c r="P62" s="26"/>
      <c r="Q62" s="105">
        <v>0</v>
      </c>
      <c r="R62" s="81">
        <v>0</v>
      </c>
      <c r="S62" s="1">
        <v>1</v>
      </c>
    </row>
    <row r="63" spans="1:19" ht="14.25" x14ac:dyDescent="0.2">
      <c r="A63" s="23">
        <v>16</v>
      </c>
      <c r="B63" s="24" t="s">
        <v>73</v>
      </c>
      <c r="C63" s="25">
        <v>28</v>
      </c>
      <c r="D63" s="25">
        <v>25</v>
      </c>
      <c r="E63" s="39">
        <v>25</v>
      </c>
      <c r="F63" s="105">
        <f t="shared" si="5"/>
        <v>0</v>
      </c>
      <c r="G63" s="105">
        <f t="shared" si="6"/>
        <v>89.285714285714278</v>
      </c>
      <c r="H63" s="39">
        <v>193</v>
      </c>
      <c r="I63" s="39">
        <v>193</v>
      </c>
      <c r="J63" s="25">
        <v>45731</v>
      </c>
      <c r="K63" s="39">
        <v>29040</v>
      </c>
      <c r="L63" s="39">
        <f>'[2]1.RSP Districts '!L63</f>
        <v>29040</v>
      </c>
      <c r="M63" s="105">
        <f t="shared" si="7"/>
        <v>0</v>
      </c>
      <c r="N63" s="105">
        <f t="shared" si="8"/>
        <v>63.50178216089742</v>
      </c>
      <c r="O63" s="25">
        <v>1848</v>
      </c>
      <c r="P63" s="39">
        <f>'[2]1.RSP Districts '!P63</f>
        <v>1848</v>
      </c>
      <c r="Q63" s="105">
        <f t="shared" si="9"/>
        <v>0</v>
      </c>
      <c r="R63" s="27" t="s">
        <v>5</v>
      </c>
      <c r="S63" s="1">
        <v>1</v>
      </c>
    </row>
    <row r="64" spans="1:19" ht="14.25" x14ac:dyDescent="0.2">
      <c r="A64" s="23">
        <v>16</v>
      </c>
      <c r="B64" s="24" t="s">
        <v>259</v>
      </c>
      <c r="C64" s="25">
        <v>28</v>
      </c>
      <c r="D64" s="25">
        <v>12</v>
      </c>
      <c r="E64" s="25">
        <f>'[4]1.RSP Districts '!E64</f>
        <v>12</v>
      </c>
      <c r="F64" s="105">
        <f t="shared" si="5"/>
        <v>0</v>
      </c>
      <c r="G64" s="105">
        <f t="shared" si="6"/>
        <v>42.857142857142854</v>
      </c>
      <c r="H64" s="25">
        <v>30</v>
      </c>
      <c r="I64" s="25">
        <f>'[4]1.RSP Districts '!I64</f>
        <v>30</v>
      </c>
      <c r="J64" s="25">
        <v>45731</v>
      </c>
      <c r="K64" s="25">
        <v>3987</v>
      </c>
      <c r="L64" s="25">
        <f>'[4]1.RSP Districts '!L64</f>
        <v>4700</v>
      </c>
      <c r="M64" s="105">
        <f t="shared" si="7"/>
        <v>17.883120140456484</v>
      </c>
      <c r="N64" s="105">
        <f t="shared" si="8"/>
        <v>10.277492291880781</v>
      </c>
      <c r="O64" s="25">
        <v>144</v>
      </c>
      <c r="P64" s="25">
        <f>'[4]1.RSP Districts '!P64</f>
        <v>177</v>
      </c>
      <c r="Q64" s="105">
        <f t="shared" si="9"/>
        <v>22.916666666666668</v>
      </c>
      <c r="R64" s="27" t="s">
        <v>9</v>
      </c>
      <c r="S64" s="1">
        <v>1</v>
      </c>
    </row>
    <row r="65" spans="1:19" ht="14.25" x14ac:dyDescent="0.2">
      <c r="A65" s="23">
        <v>17</v>
      </c>
      <c r="B65" s="24" t="s">
        <v>74</v>
      </c>
      <c r="C65" s="25">
        <v>59</v>
      </c>
      <c r="D65" s="25">
        <v>55</v>
      </c>
      <c r="E65" s="25">
        <f>'[4]1.RSP Districts '!E65</f>
        <v>55</v>
      </c>
      <c r="F65" s="105">
        <f t="shared" si="5"/>
        <v>0</v>
      </c>
      <c r="G65" s="105">
        <f t="shared" si="6"/>
        <v>93.220338983050851</v>
      </c>
      <c r="H65" s="25">
        <v>390</v>
      </c>
      <c r="I65" s="25">
        <f>'[4]1.RSP Districts '!I65</f>
        <v>390</v>
      </c>
      <c r="J65" s="25">
        <v>167833</v>
      </c>
      <c r="K65" s="25">
        <v>109246</v>
      </c>
      <c r="L65" s="25">
        <f>'[4]1.RSP Districts '!L65</f>
        <v>109246</v>
      </c>
      <c r="M65" s="105">
        <f t="shared" si="7"/>
        <v>0</v>
      </c>
      <c r="N65" s="105">
        <f t="shared" si="8"/>
        <v>65.092085585075637</v>
      </c>
      <c r="O65" s="25">
        <v>3836</v>
      </c>
      <c r="P65" s="25">
        <f>'[4]1.RSP Districts '!P65</f>
        <v>3836</v>
      </c>
      <c r="Q65" s="105">
        <f t="shared" si="9"/>
        <v>0</v>
      </c>
      <c r="R65" s="27" t="s">
        <v>9</v>
      </c>
      <c r="S65" s="1">
        <v>1</v>
      </c>
    </row>
    <row r="66" spans="1:19" ht="14.25" x14ac:dyDescent="0.2">
      <c r="A66" s="23">
        <v>18</v>
      </c>
      <c r="B66" s="24" t="s">
        <v>75</v>
      </c>
      <c r="C66" s="25">
        <v>75</v>
      </c>
      <c r="D66" s="25">
        <v>63</v>
      </c>
      <c r="E66" s="39">
        <v>63</v>
      </c>
      <c r="F66" s="105">
        <f t="shared" si="5"/>
        <v>0</v>
      </c>
      <c r="G66" s="105">
        <f t="shared" si="6"/>
        <v>84</v>
      </c>
      <c r="H66" s="39">
        <v>187</v>
      </c>
      <c r="I66" s="39">
        <v>187</v>
      </c>
      <c r="J66" s="25">
        <v>141386</v>
      </c>
      <c r="K66" s="39">
        <v>53799</v>
      </c>
      <c r="L66" s="39">
        <f>'[2]1.RSP Districts '!L66</f>
        <v>53799</v>
      </c>
      <c r="M66" s="105">
        <f t="shared" si="7"/>
        <v>0</v>
      </c>
      <c r="N66" s="105">
        <f t="shared" si="8"/>
        <v>38.051150750427908</v>
      </c>
      <c r="O66" s="25">
        <v>3781</v>
      </c>
      <c r="P66" s="39">
        <f>'[2]1.RSP Districts '!P66</f>
        <v>3781</v>
      </c>
      <c r="Q66" s="105">
        <f t="shared" si="9"/>
        <v>0</v>
      </c>
      <c r="R66" s="27" t="s">
        <v>5</v>
      </c>
      <c r="S66" s="1">
        <v>1</v>
      </c>
    </row>
    <row r="67" spans="1:19" ht="14.25" x14ac:dyDescent="0.2">
      <c r="A67" s="23">
        <v>18</v>
      </c>
      <c r="B67" s="24" t="s">
        <v>76</v>
      </c>
      <c r="C67" s="25">
        <v>75</v>
      </c>
      <c r="D67" s="25">
        <v>20</v>
      </c>
      <c r="E67" s="25">
        <f>'[4]1.RSP Districts '!E67</f>
        <v>20</v>
      </c>
      <c r="F67" s="105">
        <f t="shared" si="5"/>
        <v>0</v>
      </c>
      <c r="G67" s="105">
        <f t="shared" si="6"/>
        <v>26.666666666666668</v>
      </c>
      <c r="H67" s="25">
        <v>63</v>
      </c>
      <c r="I67" s="25">
        <f>'[4]1.RSP Districts '!I67</f>
        <v>63</v>
      </c>
      <c r="J67" s="25">
        <v>141386</v>
      </c>
      <c r="K67" s="25">
        <v>42732</v>
      </c>
      <c r="L67" s="25">
        <f>'[4]1.RSP Districts '!L67</f>
        <v>42732</v>
      </c>
      <c r="M67" s="105">
        <f t="shared" si="7"/>
        <v>0</v>
      </c>
      <c r="N67" s="105">
        <f t="shared" si="8"/>
        <v>30.223643076400776</v>
      </c>
      <c r="O67" s="25">
        <v>1838</v>
      </c>
      <c r="P67" s="25">
        <f>'[4]1.RSP Districts '!P67</f>
        <v>1838</v>
      </c>
      <c r="Q67" s="105">
        <f t="shared" si="9"/>
        <v>0</v>
      </c>
      <c r="R67" s="27" t="s">
        <v>9</v>
      </c>
      <c r="S67" s="1">
        <v>1</v>
      </c>
    </row>
    <row r="68" spans="1:19" ht="14.25" x14ac:dyDescent="0.2">
      <c r="A68" s="23">
        <v>19</v>
      </c>
      <c r="B68" s="24" t="s">
        <v>77</v>
      </c>
      <c r="C68" s="25">
        <v>48</v>
      </c>
      <c r="D68" s="25">
        <v>10</v>
      </c>
      <c r="E68" s="25">
        <f>'[4]1.RSP Districts '!E68</f>
        <v>10</v>
      </c>
      <c r="F68" s="105">
        <f t="shared" si="5"/>
        <v>0</v>
      </c>
      <c r="G68" s="105">
        <f t="shared" si="6"/>
        <v>20.833333333333336</v>
      </c>
      <c r="H68" s="25">
        <v>33</v>
      </c>
      <c r="I68" s="25">
        <f>'[4]1.RSP Districts '!I68</f>
        <v>33</v>
      </c>
      <c r="J68" s="25">
        <v>84851</v>
      </c>
      <c r="K68" s="25">
        <v>18465</v>
      </c>
      <c r="L68" s="25">
        <f>'[4]1.RSP Districts '!L68</f>
        <v>18465</v>
      </c>
      <c r="M68" s="105">
        <f t="shared" si="7"/>
        <v>0</v>
      </c>
      <c r="N68" s="105">
        <f t="shared" si="8"/>
        <v>21.761676350308189</v>
      </c>
      <c r="O68" s="25">
        <v>776</v>
      </c>
      <c r="P68" s="25">
        <f>'[4]1.RSP Districts '!P68</f>
        <v>776</v>
      </c>
      <c r="Q68" s="105">
        <f t="shared" si="9"/>
        <v>0</v>
      </c>
      <c r="R68" s="27" t="s">
        <v>9</v>
      </c>
      <c r="S68" s="1">
        <v>1</v>
      </c>
    </row>
    <row r="69" spans="1:19" ht="14.25" x14ac:dyDescent="0.2">
      <c r="A69" s="23">
        <v>19</v>
      </c>
      <c r="B69" s="24" t="s">
        <v>258</v>
      </c>
      <c r="C69" s="25">
        <v>48</v>
      </c>
      <c r="D69" s="25">
        <v>13</v>
      </c>
      <c r="E69" s="39">
        <v>13</v>
      </c>
      <c r="F69" s="105">
        <f t="shared" si="5"/>
        <v>0</v>
      </c>
      <c r="G69" s="105">
        <f t="shared" si="6"/>
        <v>27.083333333333336</v>
      </c>
      <c r="H69" s="39">
        <v>176</v>
      </c>
      <c r="I69" s="39">
        <v>176</v>
      </c>
      <c r="J69" s="25">
        <v>84851</v>
      </c>
      <c r="K69" s="39">
        <v>2163</v>
      </c>
      <c r="L69" s="39">
        <f>'[2]1.RSP Districts '!L69</f>
        <v>2361</v>
      </c>
      <c r="M69" s="105">
        <f t="shared" si="7"/>
        <v>9.1539528432732329</v>
      </c>
      <c r="N69" s="105">
        <f t="shared" si="8"/>
        <v>2.782524660876124</v>
      </c>
      <c r="O69" s="25">
        <v>101</v>
      </c>
      <c r="P69" s="39">
        <f>'[2]1.RSP Districts '!P69</f>
        <v>110</v>
      </c>
      <c r="Q69" s="105">
        <f t="shared" si="9"/>
        <v>8.9108910891089117</v>
      </c>
      <c r="R69" s="27" t="s">
        <v>5</v>
      </c>
      <c r="S69" s="1">
        <v>1</v>
      </c>
    </row>
    <row r="70" spans="1:19" ht="14.25" x14ac:dyDescent="0.2">
      <c r="A70" s="23">
        <v>20</v>
      </c>
      <c r="B70" s="24" t="s">
        <v>78</v>
      </c>
      <c r="C70" s="25">
        <v>67</v>
      </c>
      <c r="D70" s="25">
        <v>17</v>
      </c>
      <c r="E70" s="25">
        <f>'[4]1.RSP Districts '!E70</f>
        <v>17</v>
      </c>
      <c r="F70" s="105">
        <f t="shared" si="5"/>
        <v>0</v>
      </c>
      <c r="G70" s="105">
        <f t="shared" si="6"/>
        <v>25.373134328358208</v>
      </c>
      <c r="H70" s="25">
        <v>55</v>
      </c>
      <c r="I70" s="25">
        <f>'[4]1.RSP Districts '!I70</f>
        <v>55</v>
      </c>
      <c r="J70" s="25">
        <v>132070</v>
      </c>
      <c r="K70" s="25">
        <v>16241</v>
      </c>
      <c r="L70" s="25">
        <f>'[4]1.RSP Districts '!L70</f>
        <v>16241</v>
      </c>
      <c r="M70" s="105">
        <f t="shared" si="7"/>
        <v>0</v>
      </c>
      <c r="N70" s="105">
        <f t="shared" si="8"/>
        <v>12.2972666010449</v>
      </c>
      <c r="O70" s="25">
        <v>767</v>
      </c>
      <c r="P70" s="25">
        <f>'[4]1.RSP Districts '!P70</f>
        <v>769</v>
      </c>
      <c r="Q70" s="105">
        <f t="shared" si="9"/>
        <v>0.2607561929595828</v>
      </c>
      <c r="R70" s="27" t="s">
        <v>9</v>
      </c>
      <c r="S70" s="1">
        <v>1</v>
      </c>
    </row>
    <row r="71" spans="1:19" ht="14.25" x14ac:dyDescent="0.2">
      <c r="A71" s="23">
        <v>21</v>
      </c>
      <c r="B71" s="24" t="s">
        <v>79</v>
      </c>
      <c r="C71" s="25">
        <v>28</v>
      </c>
      <c r="D71" s="25">
        <v>20</v>
      </c>
      <c r="E71" s="25">
        <f>'[4]1.RSP Districts '!E71</f>
        <v>20</v>
      </c>
      <c r="F71" s="105">
        <f t="shared" si="5"/>
        <v>0</v>
      </c>
      <c r="G71" s="105">
        <f t="shared" si="6"/>
        <v>71.428571428571416</v>
      </c>
      <c r="H71" s="25">
        <v>62</v>
      </c>
      <c r="I71" s="25">
        <f>'[4]1.RSP Districts '!I71</f>
        <v>62</v>
      </c>
      <c r="J71" s="25">
        <v>53994</v>
      </c>
      <c r="K71" s="25">
        <v>27231</v>
      </c>
      <c r="L71" s="25">
        <f>'[4]1.RSP Districts '!L71</f>
        <v>27231</v>
      </c>
      <c r="M71" s="105">
        <f t="shared" si="7"/>
        <v>0</v>
      </c>
      <c r="N71" s="105">
        <f t="shared" si="8"/>
        <v>50.433381486831863</v>
      </c>
      <c r="O71" s="25">
        <v>1610</v>
      </c>
      <c r="P71" s="25">
        <f>'[4]1.RSP Districts '!P71</f>
        <v>1610</v>
      </c>
      <c r="Q71" s="105">
        <f t="shared" si="9"/>
        <v>0</v>
      </c>
      <c r="R71" s="27" t="s">
        <v>9</v>
      </c>
      <c r="S71" s="1">
        <v>1</v>
      </c>
    </row>
    <row r="72" spans="1:19" ht="14.25" x14ac:dyDescent="0.2">
      <c r="A72" s="23">
        <v>22</v>
      </c>
      <c r="B72" s="24" t="s">
        <v>80</v>
      </c>
      <c r="C72" s="25">
        <v>55</v>
      </c>
      <c r="D72" s="25">
        <v>6</v>
      </c>
      <c r="E72" s="25">
        <v>6</v>
      </c>
      <c r="F72" s="105">
        <f t="shared" si="5"/>
        <v>0</v>
      </c>
      <c r="G72" s="105">
        <f t="shared" si="6"/>
        <v>10.909090909090908</v>
      </c>
      <c r="H72" s="25">
        <v>23</v>
      </c>
      <c r="I72" s="25">
        <f>'[6]1.RSP Districts '!I71</f>
        <v>23</v>
      </c>
      <c r="J72" s="25">
        <v>112083</v>
      </c>
      <c r="K72" s="25">
        <v>8196</v>
      </c>
      <c r="L72" s="25">
        <v>8859</v>
      </c>
      <c r="M72" s="105">
        <f t="shared" si="7"/>
        <v>8.0893118594436313</v>
      </c>
      <c r="N72" s="105">
        <f t="shared" si="8"/>
        <v>7.9039640266588158</v>
      </c>
      <c r="O72" s="25">
        <v>643</v>
      </c>
      <c r="P72" s="25">
        <f>'[7]1.RSP Districts '!P72</f>
        <v>698</v>
      </c>
      <c r="Q72" s="105">
        <f t="shared" si="9"/>
        <v>8.5536547433903589</v>
      </c>
      <c r="R72" s="27" t="s">
        <v>4</v>
      </c>
      <c r="S72" s="1">
        <v>1</v>
      </c>
    </row>
    <row r="73" spans="1:19" ht="14.25" x14ac:dyDescent="0.2">
      <c r="A73" s="23">
        <v>22</v>
      </c>
      <c r="B73" s="24" t="s">
        <v>81</v>
      </c>
      <c r="C73" s="25">
        <v>55</v>
      </c>
      <c r="D73" s="25">
        <v>38</v>
      </c>
      <c r="E73" s="39">
        <v>38</v>
      </c>
      <c r="F73" s="105">
        <f t="shared" si="5"/>
        <v>0</v>
      </c>
      <c r="G73" s="105">
        <f t="shared" si="6"/>
        <v>69.090909090909079</v>
      </c>
      <c r="H73" s="39">
        <v>179</v>
      </c>
      <c r="I73" s="39">
        <v>179</v>
      </c>
      <c r="J73" s="25">
        <v>112083</v>
      </c>
      <c r="K73" s="39">
        <v>26728</v>
      </c>
      <c r="L73" s="39">
        <f>'[2]1.RSP Districts '!L73</f>
        <v>26773</v>
      </c>
      <c r="M73" s="105">
        <f t="shared" si="7"/>
        <v>0.16836276563903024</v>
      </c>
      <c r="N73" s="105">
        <f t="shared" si="8"/>
        <v>23.886762488512979</v>
      </c>
      <c r="O73" s="25">
        <v>1698</v>
      </c>
      <c r="P73" s="39">
        <f>'[2]1.RSP Districts '!P73</f>
        <v>1701</v>
      </c>
      <c r="Q73" s="105">
        <f t="shared" si="9"/>
        <v>0.17667844522968199</v>
      </c>
      <c r="R73" s="27" t="s">
        <v>5</v>
      </c>
      <c r="S73" s="1">
        <v>1</v>
      </c>
    </row>
    <row r="74" spans="1:19" ht="14.25" x14ac:dyDescent="0.2">
      <c r="A74" s="23">
        <v>23</v>
      </c>
      <c r="B74" s="24" t="s">
        <v>82</v>
      </c>
      <c r="C74" s="25">
        <v>65</v>
      </c>
      <c r="D74" s="25">
        <v>19</v>
      </c>
      <c r="E74" s="39">
        <v>19</v>
      </c>
      <c r="F74" s="105">
        <f t="shared" si="5"/>
        <v>0</v>
      </c>
      <c r="G74" s="105">
        <f t="shared" si="6"/>
        <v>29.23076923076923</v>
      </c>
      <c r="H74" s="39">
        <v>224</v>
      </c>
      <c r="I74" s="39">
        <v>224</v>
      </c>
      <c r="J74" s="25">
        <v>125377</v>
      </c>
      <c r="K74" s="39">
        <v>6488</v>
      </c>
      <c r="L74" s="39">
        <f>'[2]1.RSP Districts '!L74</f>
        <v>6488</v>
      </c>
      <c r="M74" s="105">
        <f t="shared" si="7"/>
        <v>0</v>
      </c>
      <c r="N74" s="105">
        <f t="shared" si="8"/>
        <v>5.1747928248402815</v>
      </c>
      <c r="O74" s="25">
        <v>298</v>
      </c>
      <c r="P74" s="39">
        <f>'[2]1.RSP Districts '!P74</f>
        <v>298</v>
      </c>
      <c r="Q74" s="105">
        <f t="shared" si="9"/>
        <v>0</v>
      </c>
      <c r="R74" s="27" t="s">
        <v>5</v>
      </c>
      <c r="S74" s="1">
        <v>1</v>
      </c>
    </row>
    <row r="75" spans="1:19" ht="14.25" x14ac:dyDescent="0.2">
      <c r="A75" s="23">
        <v>23</v>
      </c>
      <c r="B75" s="24" t="s">
        <v>83</v>
      </c>
      <c r="C75" s="25">
        <v>65</v>
      </c>
      <c r="D75" s="25">
        <v>60</v>
      </c>
      <c r="E75" s="25">
        <f>'[4]1.RSP Districts '!E75</f>
        <v>60</v>
      </c>
      <c r="F75" s="105">
        <f t="shared" si="5"/>
        <v>0</v>
      </c>
      <c r="G75" s="105">
        <f t="shared" si="6"/>
        <v>92.307692307692307</v>
      </c>
      <c r="H75" s="25">
        <v>100</v>
      </c>
      <c r="I75" s="25">
        <f>'[4]1.RSP Districts '!I75</f>
        <v>100</v>
      </c>
      <c r="J75" s="25">
        <v>125377</v>
      </c>
      <c r="K75" s="25">
        <v>22378</v>
      </c>
      <c r="L75" s="25">
        <f>'[4]1.RSP Districts '!L75</f>
        <v>22378</v>
      </c>
      <c r="M75" s="105">
        <f t="shared" si="7"/>
        <v>0</v>
      </c>
      <c r="N75" s="105">
        <f t="shared" si="8"/>
        <v>17.848568716750282</v>
      </c>
      <c r="O75" s="25">
        <v>928</v>
      </c>
      <c r="P75" s="25">
        <f>'[4]1.RSP Districts '!P75</f>
        <v>928</v>
      </c>
      <c r="Q75" s="105">
        <f t="shared" si="9"/>
        <v>0</v>
      </c>
      <c r="R75" s="27" t="s">
        <v>9</v>
      </c>
      <c r="S75" s="1">
        <v>1</v>
      </c>
    </row>
    <row r="76" spans="1:19" thickBot="1" x14ac:dyDescent="0.25">
      <c r="A76" s="37">
        <v>24</v>
      </c>
      <c r="B76" s="38" t="s">
        <v>209</v>
      </c>
      <c r="C76" s="39">
        <v>16</v>
      </c>
      <c r="D76" s="25">
        <v>0</v>
      </c>
      <c r="E76" s="39">
        <v>0</v>
      </c>
      <c r="F76" s="139">
        <v>0</v>
      </c>
      <c r="G76" s="139">
        <f t="shared" si="6"/>
        <v>0</v>
      </c>
      <c r="H76" s="139"/>
      <c r="I76" s="139"/>
      <c r="J76" s="172">
        <v>22411</v>
      </c>
      <c r="K76" s="25"/>
      <c r="L76" s="39"/>
      <c r="M76" s="139">
        <v>0</v>
      </c>
      <c r="N76" s="139">
        <v>0</v>
      </c>
      <c r="O76" s="25"/>
      <c r="P76" s="41"/>
      <c r="Q76" s="139">
        <v>0</v>
      </c>
      <c r="R76" s="90">
        <v>0</v>
      </c>
      <c r="S76" s="1">
        <v>1</v>
      </c>
    </row>
    <row r="77" spans="1:19" s="5" customFormat="1" ht="15.75" thickBot="1" x14ac:dyDescent="0.3">
      <c r="A77" s="155">
        <f>COUNTIF(R43:R76,"*")-9</f>
        <v>22</v>
      </c>
      <c r="B77" s="154" t="s">
        <v>84</v>
      </c>
      <c r="C77" s="57">
        <f>SUM(C43:C76)-(C47+C48+C51+C56+C67+C72+C75+C68+C64+C57)</f>
        <v>961</v>
      </c>
      <c r="D77" s="57">
        <f>SUM(D43:D76)-(D47+D48+D51+D56+D67+D72+D75+D68+D64+D57)</f>
        <v>516</v>
      </c>
      <c r="E77" s="57">
        <f>SUM(E43:E76)-(E47+E48+E51+E56+E67+E72+E75+E68+E64+E57)</f>
        <v>518</v>
      </c>
      <c r="F77" s="156">
        <f t="shared" si="5"/>
        <v>0.38759689922480617</v>
      </c>
      <c r="G77" s="156">
        <f t="shared" si="6"/>
        <v>53.90218522372529</v>
      </c>
      <c r="H77" s="156">
        <f>SUM(H43:H76)</f>
        <v>4691</v>
      </c>
      <c r="I77" s="156">
        <f>SUM(I43:I76)</f>
        <v>4707</v>
      </c>
      <c r="J77" s="57">
        <f>SUM(J43:J76)-(J47+J48+J51+J56+J67+J72+J75+J68+J64+J57)</f>
        <v>1889904</v>
      </c>
      <c r="K77" s="57">
        <f>SUM(K43:K76)</f>
        <v>814805</v>
      </c>
      <c r="L77" s="57">
        <f>SUM(L43:L76)</f>
        <v>832395</v>
      </c>
      <c r="M77" s="156">
        <f t="shared" si="7"/>
        <v>2.1587987309847141</v>
      </c>
      <c r="N77" s="156">
        <f t="shared" si="8"/>
        <v>44.044300662890812</v>
      </c>
      <c r="O77" s="57">
        <f>SUM(O43:O76)</f>
        <v>37902</v>
      </c>
      <c r="P77" s="57">
        <f>SUM(P43:P76)</f>
        <v>38724</v>
      </c>
      <c r="Q77" s="156">
        <f t="shared" si="9"/>
        <v>2.1687509893936996</v>
      </c>
      <c r="R77" s="158"/>
      <c r="S77" s="1">
        <v>1</v>
      </c>
    </row>
    <row r="78" spans="1:19" ht="8.25" customHeight="1" thickBot="1" x14ac:dyDescent="0.25">
      <c r="A78" s="13"/>
      <c r="B78" s="14"/>
      <c r="C78" s="59"/>
      <c r="D78" s="28"/>
      <c r="E78" s="28"/>
      <c r="F78" s="106"/>
      <c r="G78" s="106"/>
      <c r="H78" s="106"/>
      <c r="I78" s="106"/>
      <c r="J78" s="59"/>
      <c r="K78" s="28"/>
      <c r="L78" s="28"/>
      <c r="M78" s="28"/>
      <c r="N78" s="28"/>
      <c r="O78" s="28"/>
      <c r="P78" s="28"/>
      <c r="Q78" s="28"/>
      <c r="R78" s="15"/>
      <c r="S78" s="1">
        <v>1</v>
      </c>
    </row>
    <row r="79" spans="1:19" s="6" customFormat="1" ht="14.25" x14ac:dyDescent="0.2">
      <c r="A79" s="18" t="s">
        <v>85</v>
      </c>
      <c r="B79" s="19"/>
      <c r="C79" s="20"/>
      <c r="D79" s="29"/>
      <c r="E79" s="29"/>
      <c r="F79" s="107"/>
      <c r="G79" s="107"/>
      <c r="H79" s="107"/>
      <c r="I79" s="107"/>
      <c r="J79" s="20"/>
      <c r="K79" s="29"/>
      <c r="L79" s="29"/>
      <c r="M79" s="29"/>
      <c r="N79" s="29"/>
      <c r="O79" s="29"/>
      <c r="P79" s="29"/>
      <c r="Q79" s="29"/>
      <c r="R79" s="22"/>
      <c r="S79" s="1">
        <v>1</v>
      </c>
    </row>
    <row r="80" spans="1:19" ht="14.25" x14ac:dyDescent="0.2">
      <c r="A80" s="23">
        <v>1</v>
      </c>
      <c r="B80" s="24" t="s">
        <v>86</v>
      </c>
      <c r="C80" s="25">
        <v>46</v>
      </c>
      <c r="D80" s="25">
        <v>46</v>
      </c>
      <c r="E80" s="39">
        <v>46</v>
      </c>
      <c r="F80" s="105">
        <f t="shared" ref="F80:F103" si="10">(E80-D80)/D80%</f>
        <v>0</v>
      </c>
      <c r="G80" s="105">
        <f t="shared" ref="G80:G103" si="11">E80/C80%</f>
        <v>100</v>
      </c>
      <c r="H80" s="39">
        <v>349</v>
      </c>
      <c r="I80" s="40">
        <v>349</v>
      </c>
      <c r="J80" s="30">
        <v>185266</v>
      </c>
      <c r="K80" s="25">
        <v>102913</v>
      </c>
      <c r="L80" s="39">
        <f>'[2]1.RSP Districts '!L80</f>
        <v>105795</v>
      </c>
      <c r="M80" s="105">
        <f t="shared" ref="M80:M103" si="12">(L80-K80)/K80%</f>
        <v>2.8004236588186133</v>
      </c>
      <c r="N80" s="105">
        <f t="shared" ref="N80:N103" si="13">L80/J80%</f>
        <v>57.104379648721299</v>
      </c>
      <c r="O80" s="25">
        <v>5651</v>
      </c>
      <c r="P80" s="39">
        <f>'[2]1.RSP Districts '!P80</f>
        <v>5820</v>
      </c>
      <c r="Q80" s="105">
        <f t="shared" ref="Q80:Q103" si="14">(P80-O80)/O80%</f>
        <v>2.9906211290037161</v>
      </c>
      <c r="R80" s="31" t="s">
        <v>5</v>
      </c>
      <c r="S80" s="1">
        <v>1</v>
      </c>
    </row>
    <row r="81" spans="1:19" ht="14.25" x14ac:dyDescent="0.2">
      <c r="A81" s="23">
        <v>2</v>
      </c>
      <c r="B81" s="24" t="s">
        <v>87</v>
      </c>
      <c r="C81" s="25">
        <v>52</v>
      </c>
      <c r="D81" s="25">
        <v>30</v>
      </c>
      <c r="E81" s="25">
        <f>'[8]1.RSP Districts '!E80</f>
        <v>30</v>
      </c>
      <c r="F81" s="105">
        <f t="shared" si="10"/>
        <v>0</v>
      </c>
      <c r="G81" s="105">
        <f t="shared" si="11"/>
        <v>57.692307692307693</v>
      </c>
      <c r="H81" s="25">
        <v>131</v>
      </c>
      <c r="I81" s="25">
        <f>'[8]1.RSP Districts '!I80</f>
        <v>131</v>
      </c>
      <c r="J81" s="25">
        <v>164849</v>
      </c>
      <c r="K81" s="25">
        <v>37116</v>
      </c>
      <c r="L81" s="25">
        <f>'[9]1.RSP Districts '!L81</f>
        <v>37116</v>
      </c>
      <c r="M81" s="105">
        <f t="shared" si="12"/>
        <v>0</v>
      </c>
      <c r="N81" s="105">
        <f t="shared" si="13"/>
        <v>22.51515022839083</v>
      </c>
      <c r="O81" s="25">
        <v>1545</v>
      </c>
      <c r="P81" s="25">
        <f>'[9]1.RSP Districts '!P81</f>
        <v>1545</v>
      </c>
      <c r="Q81" s="105">
        <f t="shared" si="14"/>
        <v>0</v>
      </c>
      <c r="R81" s="32" t="s">
        <v>10</v>
      </c>
      <c r="S81" s="1">
        <v>1</v>
      </c>
    </row>
    <row r="82" spans="1:19" ht="14.25" x14ac:dyDescent="0.2">
      <c r="A82" s="23">
        <v>3</v>
      </c>
      <c r="B82" s="24" t="s">
        <v>88</v>
      </c>
      <c r="C82" s="34">
        <v>46</v>
      </c>
      <c r="D82" s="25">
        <v>37</v>
      </c>
      <c r="E82" s="25">
        <f>'[10]1.RSP Districts '!E81</f>
        <v>37</v>
      </c>
      <c r="F82" s="105">
        <f t="shared" si="10"/>
        <v>0</v>
      </c>
      <c r="G82" s="105">
        <f t="shared" si="11"/>
        <v>80.434782608695642</v>
      </c>
      <c r="H82" s="25">
        <v>283</v>
      </c>
      <c r="I82" s="25">
        <f>'[10]1.RSP Districts '!I81</f>
        <v>283</v>
      </c>
      <c r="J82" s="25">
        <v>158489</v>
      </c>
      <c r="K82" s="25">
        <v>123054</v>
      </c>
      <c r="L82" s="25">
        <f>'[11]1.RSP Districts '!L82</f>
        <v>123054</v>
      </c>
      <c r="M82" s="105">
        <f t="shared" si="12"/>
        <v>0</v>
      </c>
      <c r="N82" s="105">
        <f t="shared" si="13"/>
        <v>77.641981462435879</v>
      </c>
      <c r="O82" s="25">
        <v>6961</v>
      </c>
      <c r="P82" s="25">
        <f>'[11]1.RSP Districts '!P82</f>
        <v>6961</v>
      </c>
      <c r="Q82" s="105">
        <f t="shared" si="14"/>
        <v>0</v>
      </c>
      <c r="R82" s="31" t="s">
        <v>8</v>
      </c>
      <c r="S82" s="1">
        <v>1</v>
      </c>
    </row>
    <row r="83" spans="1:19" ht="14.25" x14ac:dyDescent="0.2">
      <c r="A83" s="23">
        <v>4</v>
      </c>
      <c r="B83" s="24" t="s">
        <v>89</v>
      </c>
      <c r="C83" s="25">
        <v>37</v>
      </c>
      <c r="D83" s="25">
        <v>20</v>
      </c>
      <c r="E83" s="39">
        <v>20</v>
      </c>
      <c r="F83" s="105">
        <f t="shared" si="10"/>
        <v>0</v>
      </c>
      <c r="G83" s="105">
        <f t="shared" si="11"/>
        <v>54.054054054054056</v>
      </c>
      <c r="H83" s="39">
        <v>121</v>
      </c>
      <c r="I83" s="40">
        <v>121</v>
      </c>
      <c r="J83" s="30">
        <v>128856</v>
      </c>
      <c r="K83" s="25">
        <v>11959</v>
      </c>
      <c r="L83" s="39">
        <f>'[2]1.RSP Districts '!L83</f>
        <v>11959</v>
      </c>
      <c r="M83" s="105">
        <f t="shared" si="12"/>
        <v>0</v>
      </c>
      <c r="N83" s="105">
        <f t="shared" si="13"/>
        <v>9.2809027131061033</v>
      </c>
      <c r="O83" s="25">
        <v>723</v>
      </c>
      <c r="P83" s="39">
        <f>'[2]1.RSP Districts '!P83</f>
        <v>723</v>
      </c>
      <c r="Q83" s="105">
        <f t="shared" si="14"/>
        <v>0</v>
      </c>
      <c r="R83" s="31" t="s">
        <v>5</v>
      </c>
      <c r="S83" s="1">
        <v>1</v>
      </c>
    </row>
    <row r="84" spans="1:19" ht="14.25" x14ac:dyDescent="0.2">
      <c r="A84" s="23">
        <v>5</v>
      </c>
      <c r="B84" s="24" t="s">
        <v>90</v>
      </c>
      <c r="C84" s="25">
        <v>40</v>
      </c>
      <c r="D84" s="25">
        <v>29</v>
      </c>
      <c r="E84" s="25">
        <f>'[10]1.RSP Districts '!E83</f>
        <v>29</v>
      </c>
      <c r="F84" s="105">
        <f t="shared" si="10"/>
        <v>0</v>
      </c>
      <c r="G84" s="105">
        <f t="shared" si="11"/>
        <v>72.5</v>
      </c>
      <c r="H84" s="25">
        <v>204</v>
      </c>
      <c r="I84" s="25">
        <f>'[10]1.RSP Districts '!I83</f>
        <v>204</v>
      </c>
      <c r="J84" s="25">
        <v>90682.077922077922</v>
      </c>
      <c r="K84" s="25">
        <v>84893</v>
      </c>
      <c r="L84" s="25">
        <f>'[11]1.RSP Districts '!L84</f>
        <v>84893</v>
      </c>
      <c r="M84" s="105">
        <f t="shared" si="12"/>
        <v>0</v>
      </c>
      <c r="N84" s="105">
        <f t="shared" si="13"/>
        <v>93.616072707274739</v>
      </c>
      <c r="O84" s="25">
        <v>5074</v>
      </c>
      <c r="P84" s="25">
        <f>'[11]1.RSP Districts '!P84</f>
        <v>5074</v>
      </c>
      <c r="Q84" s="105">
        <f t="shared" si="14"/>
        <v>0</v>
      </c>
      <c r="R84" s="31" t="s">
        <v>8</v>
      </c>
      <c r="S84" s="1">
        <v>1</v>
      </c>
    </row>
    <row r="85" spans="1:19" ht="14.25" x14ac:dyDescent="0.2">
      <c r="A85" s="23">
        <v>6</v>
      </c>
      <c r="B85" s="24" t="s">
        <v>91</v>
      </c>
      <c r="C85" s="25">
        <v>28</v>
      </c>
      <c r="D85" s="25">
        <v>12</v>
      </c>
      <c r="E85" s="25">
        <f>'[8]1.RSP Districts '!E84</f>
        <v>12</v>
      </c>
      <c r="F85" s="105">
        <f t="shared" si="10"/>
        <v>0</v>
      </c>
      <c r="G85" s="105">
        <f t="shared" si="11"/>
        <v>42.857142857142854</v>
      </c>
      <c r="H85" s="25">
        <v>78</v>
      </c>
      <c r="I85" s="25">
        <f>'[8]1.RSP Districts '!I84</f>
        <v>78</v>
      </c>
      <c r="J85" s="25">
        <v>88816</v>
      </c>
      <c r="K85" s="25">
        <v>26725</v>
      </c>
      <c r="L85" s="25">
        <f>'[9]1.RSP Districts '!L85</f>
        <v>26725</v>
      </c>
      <c r="M85" s="105">
        <f t="shared" si="12"/>
        <v>0</v>
      </c>
      <c r="N85" s="105">
        <f t="shared" si="13"/>
        <v>30.09029904521708</v>
      </c>
      <c r="O85" s="25">
        <v>554</v>
      </c>
      <c r="P85" s="25">
        <f>'[9]1.RSP Districts '!P85</f>
        <v>554</v>
      </c>
      <c r="Q85" s="105">
        <f t="shared" si="14"/>
        <v>0</v>
      </c>
      <c r="R85" s="32" t="s">
        <v>10</v>
      </c>
      <c r="S85" s="1">
        <v>1</v>
      </c>
    </row>
    <row r="86" spans="1:19" ht="14.25" x14ac:dyDescent="0.2">
      <c r="A86" s="23">
        <v>7</v>
      </c>
      <c r="B86" s="24" t="s">
        <v>211</v>
      </c>
      <c r="C86" s="25">
        <v>0</v>
      </c>
      <c r="D86" s="25">
        <v>0</v>
      </c>
      <c r="E86" s="25">
        <v>0</v>
      </c>
      <c r="F86" s="105">
        <v>0</v>
      </c>
      <c r="G86" s="105">
        <v>0</v>
      </c>
      <c r="H86" s="105">
        <v>0</v>
      </c>
      <c r="I86" s="105">
        <v>0</v>
      </c>
      <c r="J86" s="25">
        <v>0</v>
      </c>
      <c r="K86" s="25">
        <v>0</v>
      </c>
      <c r="L86" s="25">
        <v>0</v>
      </c>
      <c r="M86" s="105">
        <v>0</v>
      </c>
      <c r="N86" s="105">
        <v>0</v>
      </c>
      <c r="O86" s="25">
        <v>0</v>
      </c>
      <c r="P86" s="26">
        <v>0</v>
      </c>
      <c r="Q86" s="105">
        <v>0</v>
      </c>
      <c r="R86" s="81">
        <v>0</v>
      </c>
      <c r="S86" s="1">
        <v>1</v>
      </c>
    </row>
    <row r="87" spans="1:19" ht="14.25" x14ac:dyDescent="0.2">
      <c r="A87" s="23">
        <v>8</v>
      </c>
      <c r="B87" s="24" t="s">
        <v>92</v>
      </c>
      <c r="C87" s="25">
        <v>37</v>
      </c>
      <c r="D87" s="25">
        <v>37</v>
      </c>
      <c r="E87" s="25">
        <f>'[10]1.RSP Districts '!E86</f>
        <v>37</v>
      </c>
      <c r="F87" s="105">
        <f t="shared" si="10"/>
        <v>0</v>
      </c>
      <c r="G87" s="105">
        <f t="shared" si="11"/>
        <v>100</v>
      </c>
      <c r="H87" s="25">
        <v>170</v>
      </c>
      <c r="I87" s="25">
        <f>'[10]1.RSP Districts '!I86</f>
        <v>170</v>
      </c>
      <c r="J87" s="25">
        <v>110969</v>
      </c>
      <c r="K87" s="25">
        <v>80708</v>
      </c>
      <c r="L87" s="25">
        <f>'[11]1.RSP Districts '!L87</f>
        <v>80708</v>
      </c>
      <c r="M87" s="105">
        <f t="shared" si="12"/>
        <v>0</v>
      </c>
      <c r="N87" s="105">
        <f t="shared" si="13"/>
        <v>72.73022195387901</v>
      </c>
      <c r="O87" s="25">
        <v>4787</v>
      </c>
      <c r="P87" s="25">
        <f>'[11]1.RSP Districts '!P87</f>
        <v>4787</v>
      </c>
      <c r="Q87" s="105">
        <f t="shared" si="14"/>
        <v>0</v>
      </c>
      <c r="R87" s="31" t="s">
        <v>8</v>
      </c>
      <c r="S87" s="1">
        <v>1</v>
      </c>
    </row>
    <row r="88" spans="1:19" ht="14.25" x14ac:dyDescent="0.2">
      <c r="A88" s="23">
        <v>9</v>
      </c>
      <c r="B88" s="33" t="s">
        <v>93</v>
      </c>
      <c r="C88" s="25">
        <v>76</v>
      </c>
      <c r="D88" s="25">
        <v>49</v>
      </c>
      <c r="E88" s="25">
        <f>'[10]1.RSP Districts '!E87</f>
        <v>49</v>
      </c>
      <c r="F88" s="105">
        <f t="shared" si="10"/>
        <v>0</v>
      </c>
      <c r="G88" s="105">
        <f t="shared" si="11"/>
        <v>64.473684210526315</v>
      </c>
      <c r="H88" s="25">
        <v>244</v>
      </c>
      <c r="I88" s="25">
        <f>'[10]1.RSP Districts '!I87</f>
        <v>244</v>
      </c>
      <c r="J88" s="25">
        <v>208270</v>
      </c>
      <c r="K88" s="25">
        <v>70400</v>
      </c>
      <c r="L88" s="25">
        <f>'[11]1.RSP Districts '!L88</f>
        <v>70400</v>
      </c>
      <c r="M88" s="105">
        <f t="shared" si="12"/>
        <v>0</v>
      </c>
      <c r="N88" s="105">
        <f t="shared" si="13"/>
        <v>33.802275891871133</v>
      </c>
      <c r="O88" s="25">
        <v>4078</v>
      </c>
      <c r="P88" s="25">
        <f>'[11]1.RSP Districts '!P88</f>
        <v>4078</v>
      </c>
      <c r="Q88" s="105">
        <f t="shared" si="14"/>
        <v>0</v>
      </c>
      <c r="R88" s="31" t="s">
        <v>8</v>
      </c>
      <c r="S88" s="1">
        <v>1</v>
      </c>
    </row>
    <row r="89" spans="1:19" ht="14.25" x14ac:dyDescent="0.2">
      <c r="A89" s="23">
        <v>10</v>
      </c>
      <c r="B89" s="24" t="s">
        <v>94</v>
      </c>
      <c r="C89" s="25">
        <v>44</v>
      </c>
      <c r="D89" s="25">
        <v>38</v>
      </c>
      <c r="E89" s="25">
        <f>'[10]1.RSP Districts '!E88</f>
        <v>38</v>
      </c>
      <c r="F89" s="105">
        <f t="shared" si="10"/>
        <v>0</v>
      </c>
      <c r="G89" s="105">
        <f t="shared" si="11"/>
        <v>86.36363636363636</v>
      </c>
      <c r="H89" s="25">
        <v>178</v>
      </c>
      <c r="I89" s="25">
        <f>'[10]1.RSP Districts '!I88</f>
        <v>178</v>
      </c>
      <c r="J89" s="25">
        <v>121639.04761904762</v>
      </c>
      <c r="K89" s="25">
        <v>37589</v>
      </c>
      <c r="L89" s="25">
        <f>'[11]1.RSP Districts '!L89</f>
        <v>37589</v>
      </c>
      <c r="M89" s="105">
        <f t="shared" si="12"/>
        <v>0</v>
      </c>
      <c r="N89" s="105">
        <f t="shared" si="13"/>
        <v>30.902083447514503</v>
      </c>
      <c r="O89" s="25">
        <v>3605</v>
      </c>
      <c r="P89" s="25">
        <f>'[11]1.RSP Districts '!P89</f>
        <v>3605</v>
      </c>
      <c r="Q89" s="105">
        <f t="shared" si="14"/>
        <v>0</v>
      </c>
      <c r="R89" s="31" t="s">
        <v>8</v>
      </c>
      <c r="S89" s="1">
        <v>1</v>
      </c>
    </row>
    <row r="90" spans="1:19" ht="14.25" x14ac:dyDescent="0.2">
      <c r="A90" s="23">
        <v>11</v>
      </c>
      <c r="B90" s="24" t="s">
        <v>95</v>
      </c>
      <c r="C90" s="25">
        <v>19</v>
      </c>
      <c r="D90" s="25">
        <v>15</v>
      </c>
      <c r="E90" s="39">
        <v>15</v>
      </c>
      <c r="F90" s="105">
        <f t="shared" si="10"/>
        <v>0</v>
      </c>
      <c r="G90" s="105">
        <f t="shared" si="11"/>
        <v>78.94736842105263</v>
      </c>
      <c r="H90" s="39">
        <v>21</v>
      </c>
      <c r="I90" s="40">
        <v>21</v>
      </c>
      <c r="J90" s="30">
        <v>47026</v>
      </c>
      <c r="K90" s="25">
        <v>23129</v>
      </c>
      <c r="L90" s="39">
        <f>'[2]1.RSP Districts '!L90</f>
        <v>23129</v>
      </c>
      <c r="M90" s="105">
        <f t="shared" si="12"/>
        <v>0</v>
      </c>
      <c r="N90" s="105">
        <f t="shared" si="13"/>
        <v>49.183430442733808</v>
      </c>
      <c r="O90" s="25">
        <v>1770</v>
      </c>
      <c r="P90" s="39">
        <f>'[2]1.RSP Districts '!P90</f>
        <v>1770</v>
      </c>
      <c r="Q90" s="105">
        <f t="shared" si="14"/>
        <v>0</v>
      </c>
      <c r="R90" s="31" t="s">
        <v>5</v>
      </c>
      <c r="S90" s="1">
        <v>1</v>
      </c>
    </row>
    <row r="91" spans="1:19" ht="14.25" x14ac:dyDescent="0.2">
      <c r="A91" s="23">
        <v>12</v>
      </c>
      <c r="B91" s="24" t="s">
        <v>96</v>
      </c>
      <c r="C91" s="25">
        <v>41</v>
      </c>
      <c r="D91" s="25">
        <v>41</v>
      </c>
      <c r="E91" s="39">
        <v>41</v>
      </c>
      <c r="F91" s="105">
        <f t="shared" si="10"/>
        <v>0</v>
      </c>
      <c r="G91" s="105">
        <f t="shared" si="11"/>
        <v>100</v>
      </c>
      <c r="H91" s="39">
        <v>329</v>
      </c>
      <c r="I91" s="40">
        <v>329</v>
      </c>
      <c r="J91" s="30">
        <v>111973</v>
      </c>
      <c r="K91" s="25">
        <v>69505</v>
      </c>
      <c r="L91" s="39">
        <f>'[2]1.RSP Districts '!L91</f>
        <v>69505</v>
      </c>
      <c r="M91" s="105">
        <f t="shared" si="12"/>
        <v>0</v>
      </c>
      <c r="N91" s="105">
        <f t="shared" si="13"/>
        <v>62.072999741008992</v>
      </c>
      <c r="O91" s="25">
        <v>4143</v>
      </c>
      <c r="P91" s="39">
        <f>'[2]1.RSP Districts '!P91</f>
        <v>4143</v>
      </c>
      <c r="Q91" s="105">
        <f t="shared" si="14"/>
        <v>0</v>
      </c>
      <c r="R91" s="31" t="s">
        <v>5</v>
      </c>
      <c r="S91" s="1">
        <v>1</v>
      </c>
    </row>
    <row r="92" spans="1:19" ht="14.25" x14ac:dyDescent="0.2">
      <c r="A92" s="23">
        <v>13</v>
      </c>
      <c r="B92" s="24" t="s">
        <v>97</v>
      </c>
      <c r="C92" s="25">
        <v>51</v>
      </c>
      <c r="D92" s="25">
        <v>39</v>
      </c>
      <c r="E92" s="25">
        <f>'[10]1.RSP Districts '!E91</f>
        <v>39</v>
      </c>
      <c r="F92" s="105">
        <f t="shared" si="10"/>
        <v>0</v>
      </c>
      <c r="G92" s="105">
        <f t="shared" si="11"/>
        <v>76.470588235294116</v>
      </c>
      <c r="H92" s="25">
        <v>142</v>
      </c>
      <c r="I92" s="25">
        <f>'[10]1.RSP Districts '!I91</f>
        <v>142</v>
      </c>
      <c r="J92" s="25">
        <v>164715</v>
      </c>
      <c r="K92" s="25">
        <v>24710</v>
      </c>
      <c r="L92" s="25">
        <f>'[11]1.RSP Districts '!L92</f>
        <v>24710</v>
      </c>
      <c r="M92" s="105">
        <f t="shared" si="12"/>
        <v>0</v>
      </c>
      <c r="N92" s="105">
        <f t="shared" si="13"/>
        <v>15.001669550435601</v>
      </c>
      <c r="O92" s="25">
        <v>1729</v>
      </c>
      <c r="P92" s="25">
        <f>'[11]1.RSP Districts '!P92</f>
        <v>1729</v>
      </c>
      <c r="Q92" s="105">
        <f t="shared" si="14"/>
        <v>0</v>
      </c>
      <c r="R92" s="31" t="s">
        <v>8</v>
      </c>
      <c r="S92" s="1">
        <v>1</v>
      </c>
    </row>
    <row r="93" spans="1:19" ht="14.25" x14ac:dyDescent="0.2">
      <c r="A93" s="23">
        <v>14</v>
      </c>
      <c r="B93" s="24" t="s">
        <v>98</v>
      </c>
      <c r="C93" s="25">
        <v>51</v>
      </c>
      <c r="D93" s="25">
        <v>27</v>
      </c>
      <c r="E93" s="39">
        <v>27</v>
      </c>
      <c r="F93" s="105">
        <f t="shared" si="10"/>
        <v>0</v>
      </c>
      <c r="G93" s="105">
        <f t="shared" si="11"/>
        <v>52.941176470588232</v>
      </c>
      <c r="H93" s="39">
        <v>54</v>
      </c>
      <c r="I93" s="40">
        <v>54</v>
      </c>
      <c r="J93" s="30">
        <v>141671</v>
      </c>
      <c r="K93" s="25">
        <v>3092</v>
      </c>
      <c r="L93" s="39">
        <f>'[2]1.RSP Districts '!L93</f>
        <v>3092</v>
      </c>
      <c r="M93" s="105">
        <f t="shared" si="12"/>
        <v>0</v>
      </c>
      <c r="N93" s="105">
        <f t="shared" si="13"/>
        <v>2.1825214758136808</v>
      </c>
      <c r="O93" s="25">
        <v>564</v>
      </c>
      <c r="P93" s="39">
        <f>'[2]1.RSP Districts '!P93</f>
        <v>564</v>
      </c>
      <c r="Q93" s="105">
        <f t="shared" si="14"/>
        <v>0</v>
      </c>
      <c r="R93" s="31" t="s">
        <v>5</v>
      </c>
      <c r="S93" s="1">
        <v>1</v>
      </c>
    </row>
    <row r="94" spans="1:19" ht="14.25" x14ac:dyDescent="0.2">
      <c r="A94" s="23">
        <v>15</v>
      </c>
      <c r="B94" s="24" t="s">
        <v>99</v>
      </c>
      <c r="C94" s="25">
        <v>40</v>
      </c>
      <c r="D94" s="25">
        <v>34</v>
      </c>
      <c r="E94" s="25">
        <f>'[10]1.RSP Districts '!E93</f>
        <v>34</v>
      </c>
      <c r="F94" s="105">
        <f t="shared" si="10"/>
        <v>0</v>
      </c>
      <c r="G94" s="105">
        <f t="shared" si="11"/>
        <v>85</v>
      </c>
      <c r="H94" s="25">
        <v>236</v>
      </c>
      <c r="I94" s="25">
        <f>'[10]1.RSP Districts '!I93</f>
        <v>236</v>
      </c>
      <c r="J94" s="25">
        <v>128408</v>
      </c>
      <c r="K94" s="25">
        <v>29475</v>
      </c>
      <c r="L94" s="25">
        <f>'[11]1.RSP Districts '!L94</f>
        <v>29475</v>
      </c>
      <c r="M94" s="105">
        <f t="shared" si="12"/>
        <v>0</v>
      </c>
      <c r="N94" s="105">
        <f t="shared" si="13"/>
        <v>22.954177309824935</v>
      </c>
      <c r="O94" s="25">
        <v>2221</v>
      </c>
      <c r="P94" s="25">
        <f>'[11]1.RSP Districts '!P94</f>
        <v>2221</v>
      </c>
      <c r="Q94" s="105">
        <f t="shared" si="14"/>
        <v>0</v>
      </c>
      <c r="R94" s="31" t="s">
        <v>8</v>
      </c>
      <c r="S94" s="1">
        <v>1</v>
      </c>
    </row>
    <row r="95" spans="1:19" ht="14.25" x14ac:dyDescent="0.2">
      <c r="A95" s="23">
        <v>16</v>
      </c>
      <c r="B95" s="24" t="s">
        <v>100</v>
      </c>
      <c r="C95" s="25">
        <v>55</v>
      </c>
      <c r="D95" s="25">
        <v>13</v>
      </c>
      <c r="E95" s="25">
        <f>D95</f>
        <v>13</v>
      </c>
      <c r="F95" s="105">
        <f t="shared" si="10"/>
        <v>0</v>
      </c>
      <c r="G95" s="105">
        <f t="shared" si="11"/>
        <v>23.636363636363633</v>
      </c>
      <c r="H95" s="25">
        <v>260</v>
      </c>
      <c r="I95" s="25">
        <f>H95</f>
        <v>260</v>
      </c>
      <c r="J95" s="25">
        <v>209191</v>
      </c>
      <c r="K95" s="25">
        <v>16500</v>
      </c>
      <c r="L95" s="25">
        <f>K95</f>
        <v>16500</v>
      </c>
      <c r="M95" s="105">
        <f t="shared" si="12"/>
        <v>0</v>
      </c>
      <c r="N95" s="105">
        <f t="shared" si="13"/>
        <v>7.8875286221682579</v>
      </c>
      <c r="O95" s="25">
        <v>860</v>
      </c>
      <c r="P95" s="25">
        <f>O95</f>
        <v>860</v>
      </c>
      <c r="Q95" s="105">
        <f t="shared" si="14"/>
        <v>0</v>
      </c>
      <c r="R95" s="31" t="s">
        <v>7</v>
      </c>
      <c r="S95" s="1">
        <v>1</v>
      </c>
    </row>
    <row r="96" spans="1:19" ht="14.25" x14ac:dyDescent="0.2">
      <c r="A96" s="23">
        <v>17</v>
      </c>
      <c r="B96" s="24" t="s">
        <v>101</v>
      </c>
      <c r="C96" s="25">
        <v>51</v>
      </c>
      <c r="D96" s="25">
        <v>50</v>
      </c>
      <c r="E96" s="25">
        <f>'[10]1.RSP Districts '!E95</f>
        <v>50</v>
      </c>
      <c r="F96" s="105">
        <f t="shared" si="10"/>
        <v>0</v>
      </c>
      <c r="G96" s="105">
        <f t="shared" si="11"/>
        <v>98.039215686274503</v>
      </c>
      <c r="H96" s="25">
        <v>222</v>
      </c>
      <c r="I96" s="25">
        <f>'[10]1.RSP Districts '!I95</f>
        <v>222</v>
      </c>
      <c r="J96" s="25">
        <v>122340</v>
      </c>
      <c r="K96" s="25">
        <v>104557</v>
      </c>
      <c r="L96" s="25">
        <f>'[11]1.RSP Districts '!L96</f>
        <v>104557</v>
      </c>
      <c r="M96" s="105">
        <f t="shared" si="12"/>
        <v>0</v>
      </c>
      <c r="N96" s="105">
        <f t="shared" si="13"/>
        <v>85.464279875756077</v>
      </c>
      <c r="O96" s="25">
        <v>5997</v>
      </c>
      <c r="P96" s="25">
        <f>'[11]1.RSP Districts '!P96</f>
        <v>5997</v>
      </c>
      <c r="Q96" s="105">
        <f t="shared" si="14"/>
        <v>0</v>
      </c>
      <c r="R96" s="31" t="s">
        <v>8</v>
      </c>
      <c r="S96" s="1">
        <v>1</v>
      </c>
    </row>
    <row r="97" spans="1:20" ht="14.25" x14ac:dyDescent="0.2">
      <c r="A97" s="23">
        <v>18</v>
      </c>
      <c r="B97" s="24" t="s">
        <v>102</v>
      </c>
      <c r="C97" s="25">
        <v>46</v>
      </c>
      <c r="D97" s="25">
        <v>25</v>
      </c>
      <c r="E97" s="25">
        <f>'[10]1.RSP Districts '!E96</f>
        <v>25</v>
      </c>
      <c r="F97" s="105">
        <f t="shared" si="10"/>
        <v>0</v>
      </c>
      <c r="G97" s="105">
        <f t="shared" si="11"/>
        <v>54.347826086956516</v>
      </c>
      <c r="H97" s="25">
        <v>196</v>
      </c>
      <c r="I97" s="25">
        <f>'[10]1.RSP Districts '!I96</f>
        <v>196</v>
      </c>
      <c r="J97" s="25">
        <v>78458</v>
      </c>
      <c r="K97" s="25">
        <v>36343</v>
      </c>
      <c r="L97" s="25">
        <f>'[11]1.RSP Districts '!L97</f>
        <v>36343</v>
      </c>
      <c r="M97" s="105">
        <f t="shared" si="12"/>
        <v>0</v>
      </c>
      <c r="N97" s="105">
        <f t="shared" si="13"/>
        <v>46.321598817201554</v>
      </c>
      <c r="O97" s="25">
        <v>2613</v>
      </c>
      <c r="P97" s="25">
        <f>'[11]1.RSP Districts '!P97</f>
        <v>2613</v>
      </c>
      <c r="Q97" s="105">
        <f t="shared" si="14"/>
        <v>0</v>
      </c>
      <c r="R97" s="31" t="s">
        <v>8</v>
      </c>
      <c r="S97" s="1">
        <v>1</v>
      </c>
    </row>
    <row r="98" spans="1:20" s="7" customFormat="1" ht="14.25" x14ac:dyDescent="0.2">
      <c r="A98" s="23">
        <v>19</v>
      </c>
      <c r="B98" s="24" t="s">
        <v>103</v>
      </c>
      <c r="C98" s="25">
        <v>19</v>
      </c>
      <c r="D98" s="25">
        <v>12</v>
      </c>
      <c r="E98" s="39">
        <v>12</v>
      </c>
      <c r="F98" s="105">
        <f t="shared" si="10"/>
        <v>0</v>
      </c>
      <c r="G98" s="105">
        <f t="shared" si="11"/>
        <v>63.157894736842103</v>
      </c>
      <c r="H98" s="39">
        <v>19</v>
      </c>
      <c r="I98" s="40">
        <v>19</v>
      </c>
      <c r="J98" s="30">
        <v>47082</v>
      </c>
      <c r="K98" s="25">
        <v>12702</v>
      </c>
      <c r="L98" s="39">
        <f>'[2]1.RSP Districts '!L98</f>
        <v>12702</v>
      </c>
      <c r="M98" s="105">
        <f t="shared" si="12"/>
        <v>0</v>
      </c>
      <c r="N98" s="105">
        <f t="shared" si="13"/>
        <v>26.978463106919843</v>
      </c>
      <c r="O98" s="25">
        <v>1025</v>
      </c>
      <c r="P98" s="39">
        <f>'[2]1.RSP Districts '!P98</f>
        <v>1025</v>
      </c>
      <c r="Q98" s="105">
        <f t="shared" si="14"/>
        <v>0</v>
      </c>
      <c r="R98" s="31" t="s">
        <v>5</v>
      </c>
      <c r="S98" s="1">
        <v>1</v>
      </c>
    </row>
    <row r="99" spans="1:20" s="7" customFormat="1" ht="14.25" x14ac:dyDescent="0.2">
      <c r="A99" s="23">
        <v>20</v>
      </c>
      <c r="B99" s="24" t="s">
        <v>104</v>
      </c>
      <c r="C99" s="25">
        <v>16</v>
      </c>
      <c r="D99" s="25">
        <v>13</v>
      </c>
      <c r="E99" s="39">
        <v>13</v>
      </c>
      <c r="F99" s="105">
        <f t="shared" si="10"/>
        <v>0</v>
      </c>
      <c r="G99" s="105">
        <f t="shared" si="11"/>
        <v>81.25</v>
      </c>
      <c r="H99" s="39">
        <v>66</v>
      </c>
      <c r="I99" s="40">
        <v>66</v>
      </c>
      <c r="J99" s="30">
        <v>39648</v>
      </c>
      <c r="K99" s="25">
        <v>17546</v>
      </c>
      <c r="L99" s="39">
        <f>'[2]1.RSP Districts '!L99</f>
        <v>17546</v>
      </c>
      <c r="M99" s="105">
        <f t="shared" si="12"/>
        <v>0</v>
      </c>
      <c r="N99" s="105">
        <f t="shared" si="13"/>
        <v>44.254439063761097</v>
      </c>
      <c r="O99" s="25">
        <v>1065</v>
      </c>
      <c r="P99" s="39">
        <f>'[2]1.RSP Districts '!P99</f>
        <v>1065</v>
      </c>
      <c r="Q99" s="105">
        <f t="shared" si="14"/>
        <v>0</v>
      </c>
      <c r="R99" s="31" t="s">
        <v>5</v>
      </c>
      <c r="S99" s="1">
        <v>1</v>
      </c>
    </row>
    <row r="100" spans="1:20" s="7" customFormat="1" ht="14.25" x14ac:dyDescent="0.2">
      <c r="A100" s="23">
        <v>21</v>
      </c>
      <c r="B100" s="24" t="s">
        <v>105</v>
      </c>
      <c r="C100" s="25">
        <v>44</v>
      </c>
      <c r="D100" s="25">
        <v>44</v>
      </c>
      <c r="E100" s="25">
        <f>'[8]1.RSP Districts '!E99</f>
        <v>44</v>
      </c>
      <c r="F100" s="105">
        <f t="shared" si="10"/>
        <v>0</v>
      </c>
      <c r="G100" s="105">
        <f t="shared" si="11"/>
        <v>100</v>
      </c>
      <c r="H100" s="25">
        <v>166</v>
      </c>
      <c r="I100" s="25">
        <f>'[8]1.RSP Districts '!I99</f>
        <v>166</v>
      </c>
      <c r="J100" s="25">
        <v>159486</v>
      </c>
      <c r="K100" s="25">
        <v>159605</v>
      </c>
      <c r="L100" s="25">
        <f>'[9]1.RSP Districts '!L100</f>
        <v>159665</v>
      </c>
      <c r="M100" s="105">
        <f t="shared" si="12"/>
        <v>3.759280724288086E-2</v>
      </c>
      <c r="N100" s="105">
        <f t="shared" si="13"/>
        <v>100.11223555672599</v>
      </c>
      <c r="O100" s="25">
        <v>11455</v>
      </c>
      <c r="P100" s="25">
        <f>'[9]1.RSP Districts '!P100</f>
        <v>11477</v>
      </c>
      <c r="Q100" s="105">
        <f t="shared" si="14"/>
        <v>0.19205587079877784</v>
      </c>
      <c r="R100" s="32" t="s">
        <v>10</v>
      </c>
      <c r="S100" s="1">
        <v>1</v>
      </c>
      <c r="T100" s="7">
        <f>8</f>
        <v>8</v>
      </c>
    </row>
    <row r="101" spans="1:20" s="7" customFormat="1" ht="14.25" x14ac:dyDescent="0.2">
      <c r="A101" s="23">
        <v>22</v>
      </c>
      <c r="B101" s="24" t="s">
        <v>106</v>
      </c>
      <c r="C101" s="25">
        <v>55</v>
      </c>
      <c r="D101" s="25">
        <v>52</v>
      </c>
      <c r="E101" s="39">
        <v>52</v>
      </c>
      <c r="F101" s="105">
        <f t="shared" si="10"/>
        <v>0</v>
      </c>
      <c r="G101" s="105">
        <f t="shared" si="11"/>
        <v>94.545454545454533</v>
      </c>
      <c r="H101" s="39">
        <v>298</v>
      </c>
      <c r="I101" s="40">
        <v>298</v>
      </c>
      <c r="J101" s="30">
        <v>202554</v>
      </c>
      <c r="K101" s="25">
        <v>37613</v>
      </c>
      <c r="L101" s="39">
        <f>'[2]1.RSP Districts '!L101</f>
        <v>37613</v>
      </c>
      <c r="M101" s="105">
        <f t="shared" si="12"/>
        <v>0</v>
      </c>
      <c r="N101" s="105">
        <f t="shared" si="13"/>
        <v>18.569369155879421</v>
      </c>
      <c r="O101" s="25">
        <v>2145</v>
      </c>
      <c r="P101" s="39">
        <f>'[2]1.RSP Districts '!P101</f>
        <v>2145</v>
      </c>
      <c r="Q101" s="105">
        <f t="shared" si="14"/>
        <v>0</v>
      </c>
      <c r="R101" s="31" t="s">
        <v>5</v>
      </c>
      <c r="S101" s="1">
        <v>1</v>
      </c>
    </row>
    <row r="102" spans="1:20" s="7" customFormat="1" thickBot="1" x14ac:dyDescent="0.25">
      <c r="A102" s="37">
        <v>23</v>
      </c>
      <c r="B102" s="38" t="s">
        <v>107</v>
      </c>
      <c r="C102" s="39">
        <v>27</v>
      </c>
      <c r="D102" s="25">
        <v>27</v>
      </c>
      <c r="E102" s="25">
        <f>'[8]1.RSP Districts '!E101</f>
        <v>27</v>
      </c>
      <c r="F102" s="139">
        <f t="shared" si="10"/>
        <v>0</v>
      </c>
      <c r="G102" s="139">
        <f t="shared" si="11"/>
        <v>100</v>
      </c>
      <c r="H102" s="39">
        <v>186</v>
      </c>
      <c r="I102" s="25">
        <f>'[8]1.RSP Districts '!I101</f>
        <v>186</v>
      </c>
      <c r="J102" s="39">
        <v>106515</v>
      </c>
      <c r="K102" s="25">
        <v>43037</v>
      </c>
      <c r="L102" s="25">
        <f>'[9]1.RSP Districts '!L102</f>
        <v>43042</v>
      </c>
      <c r="M102" s="139">
        <f t="shared" si="12"/>
        <v>1.1617910170318563E-2</v>
      </c>
      <c r="N102" s="139">
        <f t="shared" si="13"/>
        <v>40.409332018964463</v>
      </c>
      <c r="O102" s="25">
        <v>2651</v>
      </c>
      <c r="P102" s="25">
        <f>'[9]1.RSP Districts '!P102</f>
        <v>2659</v>
      </c>
      <c r="Q102" s="139">
        <f t="shared" si="14"/>
        <v>0.30177291588079969</v>
      </c>
      <c r="R102" s="42" t="s">
        <v>10</v>
      </c>
      <c r="S102" s="1">
        <v>1</v>
      </c>
    </row>
    <row r="103" spans="1:20" s="5" customFormat="1" ht="15.75" thickBot="1" x14ac:dyDescent="0.3">
      <c r="A103" s="155">
        <f>COUNTIF(R80:R102,"*")</f>
        <v>22</v>
      </c>
      <c r="B103" s="154" t="s">
        <v>84</v>
      </c>
      <c r="C103" s="57">
        <f>SUM(C80:C102)</f>
        <v>921</v>
      </c>
      <c r="D103" s="57">
        <f>SUM(D80:D102)</f>
        <v>690</v>
      </c>
      <c r="E103" s="57">
        <f>SUM(E80:E102)</f>
        <v>690</v>
      </c>
      <c r="F103" s="156">
        <f t="shared" si="10"/>
        <v>0</v>
      </c>
      <c r="G103" s="156">
        <f t="shared" si="11"/>
        <v>74.918566775244287</v>
      </c>
      <c r="H103" s="156">
        <f>SUM(H80:H102)</f>
        <v>3953</v>
      </c>
      <c r="I103" s="156">
        <f>SUM(I80:I102)</f>
        <v>3953</v>
      </c>
      <c r="J103" s="57">
        <f>SUM(J80:J102)</f>
        <v>2816903.1255411254</v>
      </c>
      <c r="K103" s="57">
        <f>SUM(K80:K102)</f>
        <v>1153171</v>
      </c>
      <c r="L103" s="57">
        <f>SUM(L80:L102)</f>
        <v>1156118</v>
      </c>
      <c r="M103" s="156">
        <f t="shared" si="12"/>
        <v>0.25555620111848115</v>
      </c>
      <c r="N103" s="156">
        <f t="shared" si="13"/>
        <v>41.042163982047143</v>
      </c>
      <c r="O103" s="57">
        <f>SUM(O80:O102)</f>
        <v>71216</v>
      </c>
      <c r="P103" s="57">
        <f>SUM(P80:P102)</f>
        <v>71415</v>
      </c>
      <c r="Q103" s="156">
        <f t="shared" si="14"/>
        <v>0.27943158840709953</v>
      </c>
      <c r="R103" s="158"/>
      <c r="S103" s="1">
        <v>1</v>
      </c>
    </row>
    <row r="104" spans="1:20" ht="5.25" customHeight="1" thickBot="1" x14ac:dyDescent="0.25">
      <c r="A104" s="35"/>
      <c r="B104" s="36"/>
      <c r="C104" s="28"/>
      <c r="D104" s="28"/>
      <c r="E104" s="28"/>
      <c r="F104" s="106"/>
      <c r="G104" s="106"/>
      <c r="H104" s="106"/>
      <c r="I104" s="106"/>
      <c r="J104" s="28"/>
      <c r="K104" s="28"/>
      <c r="L104" s="28"/>
      <c r="M104" s="28"/>
      <c r="N104" s="28"/>
      <c r="O104" s="28"/>
      <c r="P104" s="28"/>
      <c r="Q104" s="28"/>
      <c r="R104" s="15"/>
      <c r="S104" s="1">
        <v>1</v>
      </c>
    </row>
    <row r="105" spans="1:20" s="6" customFormat="1" ht="14.25" x14ac:dyDescent="0.2">
      <c r="A105" s="18" t="s">
        <v>108</v>
      </c>
      <c r="B105" s="19"/>
      <c r="C105" s="20"/>
      <c r="D105" s="29"/>
      <c r="E105" s="29"/>
      <c r="F105" s="107"/>
      <c r="G105" s="107"/>
      <c r="H105" s="107"/>
      <c r="I105" s="107"/>
      <c r="J105" s="20"/>
      <c r="K105" s="29"/>
      <c r="L105" s="29"/>
      <c r="M105" s="29"/>
      <c r="N105" s="29"/>
      <c r="O105" s="29"/>
      <c r="P105" s="29"/>
      <c r="Q105" s="29"/>
      <c r="R105" s="22"/>
      <c r="S105" s="1">
        <v>1</v>
      </c>
    </row>
    <row r="106" spans="1:20" s="7" customFormat="1" ht="14.25" x14ac:dyDescent="0.2">
      <c r="A106" s="23">
        <v>1</v>
      </c>
      <c r="B106" s="24" t="s">
        <v>109</v>
      </c>
      <c r="C106" s="30">
        <v>65</v>
      </c>
      <c r="D106" s="25">
        <v>12</v>
      </c>
      <c r="E106" s="25">
        <v>12</v>
      </c>
      <c r="F106" s="105">
        <f t="shared" ref="F106:F154" si="15">(E106-D106)/D106%</f>
        <v>0</v>
      </c>
      <c r="G106" s="105">
        <f t="shared" ref="G106:G154" si="16">E106/C106%</f>
        <v>18.46153846153846</v>
      </c>
      <c r="H106" s="25">
        <v>69</v>
      </c>
      <c r="I106" s="25">
        <f>'[6]1.RSP Districts '!I105</f>
        <v>69</v>
      </c>
      <c r="J106" s="25">
        <v>164849</v>
      </c>
      <c r="K106" s="25">
        <v>19147</v>
      </c>
      <c r="L106" s="25">
        <f>'[7]1.RSP Districts '!L106</f>
        <v>19429</v>
      </c>
      <c r="M106" s="105">
        <f t="shared" ref="M106:M154" si="17">(L106-K106)/K106%</f>
        <v>1.4728155846868962</v>
      </c>
      <c r="N106" s="105">
        <f t="shared" ref="N106:N154" si="18">L106/J106%</f>
        <v>11.785937433651402</v>
      </c>
      <c r="O106" s="25">
        <v>1610</v>
      </c>
      <c r="P106" s="25">
        <f>'[7]1.RSP Districts '!P106</f>
        <v>1611</v>
      </c>
      <c r="Q106" s="105">
        <f t="shared" ref="Q106:Q154" si="19">(P106-O106)/O106%</f>
        <v>6.2111801242236017E-2</v>
      </c>
      <c r="R106" s="32" t="s">
        <v>4</v>
      </c>
      <c r="S106" s="1">
        <v>1</v>
      </c>
      <c r="T106" s="163"/>
    </row>
    <row r="107" spans="1:20" ht="14.25" x14ac:dyDescent="0.2">
      <c r="A107" s="23">
        <v>1</v>
      </c>
      <c r="B107" s="24" t="s">
        <v>110</v>
      </c>
      <c r="C107" s="25">
        <v>65</v>
      </c>
      <c r="D107" s="25">
        <v>64</v>
      </c>
      <c r="E107" s="39">
        <v>64</v>
      </c>
      <c r="F107" s="105">
        <f t="shared" si="15"/>
        <v>0</v>
      </c>
      <c r="G107" s="105">
        <f t="shared" si="16"/>
        <v>98.461538461538453</v>
      </c>
      <c r="H107" s="39">
        <v>454</v>
      </c>
      <c r="I107" s="39">
        <v>454</v>
      </c>
      <c r="J107" s="25">
        <v>164849</v>
      </c>
      <c r="K107" s="25">
        <v>66651</v>
      </c>
      <c r="L107" s="39">
        <f>'[2]1.RSP Districts '!L107</f>
        <v>66651</v>
      </c>
      <c r="M107" s="105">
        <f t="shared" si="17"/>
        <v>0</v>
      </c>
      <c r="N107" s="105">
        <f t="shared" si="18"/>
        <v>40.431546445535005</v>
      </c>
      <c r="O107" s="25">
        <v>4318</v>
      </c>
      <c r="P107" s="39">
        <f>'[2]1.RSP Districts '!P107</f>
        <v>4318</v>
      </c>
      <c r="Q107" s="105">
        <f t="shared" si="19"/>
        <v>0</v>
      </c>
      <c r="R107" s="27" t="s">
        <v>5</v>
      </c>
      <c r="S107" s="1">
        <v>1</v>
      </c>
      <c r="T107" s="163"/>
    </row>
    <row r="108" spans="1:20" s="7" customFormat="1" ht="14.25" x14ac:dyDescent="0.2">
      <c r="A108" s="23">
        <v>2</v>
      </c>
      <c r="B108" s="24" t="s">
        <v>111</v>
      </c>
      <c r="C108" s="25">
        <v>101</v>
      </c>
      <c r="D108" s="25">
        <v>101</v>
      </c>
      <c r="E108" s="39">
        <v>101</v>
      </c>
      <c r="F108" s="105">
        <f t="shared" si="15"/>
        <v>0</v>
      </c>
      <c r="G108" s="105">
        <f t="shared" si="16"/>
        <v>100</v>
      </c>
      <c r="H108" s="39">
        <v>869</v>
      </c>
      <c r="I108" s="40">
        <v>869</v>
      </c>
      <c r="J108" s="30">
        <v>158489</v>
      </c>
      <c r="K108" s="25">
        <v>214892</v>
      </c>
      <c r="L108" s="39">
        <f>'[2]1.RSP Districts '!L108</f>
        <v>214892</v>
      </c>
      <c r="M108" s="105">
        <f t="shared" si="17"/>
        <v>0</v>
      </c>
      <c r="N108" s="105">
        <f t="shared" si="18"/>
        <v>135.58795878578323</v>
      </c>
      <c r="O108" s="25">
        <v>15520</v>
      </c>
      <c r="P108" s="39">
        <f>'[2]1.RSP Districts '!P108</f>
        <v>15520</v>
      </c>
      <c r="Q108" s="105">
        <f t="shared" si="19"/>
        <v>0</v>
      </c>
      <c r="R108" s="32" t="s">
        <v>5</v>
      </c>
      <c r="S108" s="1">
        <v>1</v>
      </c>
      <c r="T108" s="163"/>
    </row>
    <row r="109" spans="1:20" s="7" customFormat="1" ht="14.25" x14ac:dyDescent="0.2">
      <c r="A109" s="23">
        <v>3</v>
      </c>
      <c r="B109" s="24" t="s">
        <v>112</v>
      </c>
      <c r="C109" s="25">
        <v>97</v>
      </c>
      <c r="D109" s="25">
        <v>97</v>
      </c>
      <c r="E109" s="39">
        <v>97</v>
      </c>
      <c r="F109" s="105">
        <f t="shared" si="15"/>
        <v>0</v>
      </c>
      <c r="G109" s="105">
        <f t="shared" si="16"/>
        <v>100</v>
      </c>
      <c r="H109" s="39">
        <v>609</v>
      </c>
      <c r="I109" s="40">
        <v>609</v>
      </c>
      <c r="J109" s="30">
        <v>128856</v>
      </c>
      <c r="K109" s="25">
        <v>264491</v>
      </c>
      <c r="L109" s="39">
        <f>'[2]1.RSP Districts '!L109</f>
        <v>264491</v>
      </c>
      <c r="M109" s="105">
        <f t="shared" si="17"/>
        <v>0</v>
      </c>
      <c r="N109" s="105">
        <f t="shared" si="18"/>
        <v>205.2609114049792</v>
      </c>
      <c r="O109" s="25">
        <v>17855</v>
      </c>
      <c r="P109" s="39">
        <f>'[2]1.RSP Districts '!P109</f>
        <v>17855</v>
      </c>
      <c r="Q109" s="105">
        <f t="shared" si="19"/>
        <v>0</v>
      </c>
      <c r="R109" s="32" t="s">
        <v>5</v>
      </c>
      <c r="S109" s="1">
        <v>1</v>
      </c>
      <c r="T109" s="163"/>
    </row>
    <row r="110" spans="1:20" s="7" customFormat="1" ht="14.25" x14ac:dyDescent="0.2">
      <c r="A110" s="23">
        <v>4</v>
      </c>
      <c r="B110" s="24" t="s">
        <v>113</v>
      </c>
      <c r="C110" s="25">
        <v>42</v>
      </c>
      <c r="D110" s="25">
        <v>40</v>
      </c>
      <c r="E110" s="39">
        <v>40</v>
      </c>
      <c r="F110" s="105">
        <f t="shared" si="15"/>
        <v>0</v>
      </c>
      <c r="G110" s="105">
        <f t="shared" si="16"/>
        <v>95.238095238095241</v>
      </c>
      <c r="H110" s="39">
        <v>530</v>
      </c>
      <c r="I110" s="40">
        <v>530</v>
      </c>
      <c r="J110" s="30">
        <v>90682.077922077922</v>
      </c>
      <c r="K110" s="25">
        <v>151389</v>
      </c>
      <c r="L110" s="39">
        <f>'[2]1.RSP Districts '!L110</f>
        <v>152311</v>
      </c>
      <c r="M110" s="105">
        <f t="shared" si="17"/>
        <v>0.60902707594343042</v>
      </c>
      <c r="N110" s="105">
        <f t="shared" si="18"/>
        <v>167.96152391973101</v>
      </c>
      <c r="O110" s="25">
        <v>9495</v>
      </c>
      <c r="P110" s="39">
        <f>'[2]1.RSP Districts '!P110</f>
        <v>9557</v>
      </c>
      <c r="Q110" s="105">
        <f t="shared" si="19"/>
        <v>0.65297525013164825</v>
      </c>
      <c r="R110" s="32" t="s">
        <v>5</v>
      </c>
      <c r="S110" s="1">
        <v>1</v>
      </c>
      <c r="T110" s="163"/>
    </row>
    <row r="111" spans="1:20" s="7" customFormat="1" ht="14.25" x14ac:dyDescent="0.2">
      <c r="A111" s="23">
        <v>5</v>
      </c>
      <c r="B111" s="24" t="s">
        <v>114</v>
      </c>
      <c r="C111" s="25">
        <v>65</v>
      </c>
      <c r="D111" s="25">
        <v>60</v>
      </c>
      <c r="E111" s="39">
        <v>60</v>
      </c>
      <c r="F111" s="105">
        <f t="shared" si="15"/>
        <v>0</v>
      </c>
      <c r="G111" s="105">
        <f t="shared" si="16"/>
        <v>92.307692307692307</v>
      </c>
      <c r="H111" s="39">
        <v>418</v>
      </c>
      <c r="I111" s="40">
        <v>418</v>
      </c>
      <c r="J111" s="30">
        <v>88816</v>
      </c>
      <c r="K111" s="25">
        <v>69533</v>
      </c>
      <c r="L111" s="39">
        <f>'[2]1.RSP Districts '!L111</f>
        <v>69550</v>
      </c>
      <c r="M111" s="105">
        <f t="shared" si="17"/>
        <v>2.444882286108754E-2</v>
      </c>
      <c r="N111" s="105">
        <f t="shared" si="18"/>
        <v>78.307962529274008</v>
      </c>
      <c r="O111" s="25">
        <v>3787</v>
      </c>
      <c r="P111" s="39">
        <f>'[2]1.RSP Districts '!P111</f>
        <v>3788</v>
      </c>
      <c r="Q111" s="105">
        <f t="shared" si="19"/>
        <v>2.6406126221283341E-2</v>
      </c>
      <c r="R111" s="32" t="s">
        <v>5</v>
      </c>
      <c r="S111" s="1">
        <v>1</v>
      </c>
      <c r="T111" s="163"/>
    </row>
    <row r="112" spans="1:20" s="7" customFormat="1" ht="14.25" x14ac:dyDescent="0.2">
      <c r="A112" s="23">
        <v>6</v>
      </c>
      <c r="B112" s="24" t="s">
        <v>247</v>
      </c>
      <c r="C112" s="25">
        <v>42</v>
      </c>
      <c r="D112" s="25">
        <v>0</v>
      </c>
      <c r="E112" s="25">
        <f>'[12]1.RSP Districts '!E111</f>
        <v>0</v>
      </c>
      <c r="F112" s="105">
        <v>0</v>
      </c>
      <c r="G112" s="105">
        <f t="shared" si="16"/>
        <v>0</v>
      </c>
      <c r="H112" s="25">
        <v>0</v>
      </c>
      <c r="I112" s="25">
        <f>'[12]1.RSP Districts '!H111</f>
        <v>0</v>
      </c>
      <c r="J112" s="174">
        <v>81625.384615384493</v>
      </c>
      <c r="K112" s="25">
        <v>1069</v>
      </c>
      <c r="L112" s="25">
        <f>'[13]1.RSP Districts '!L112</f>
        <v>1069</v>
      </c>
      <c r="M112" s="105">
        <f t="shared" si="17"/>
        <v>0</v>
      </c>
      <c r="N112" s="105">
        <v>0</v>
      </c>
      <c r="O112" s="25">
        <v>60</v>
      </c>
      <c r="P112" s="25">
        <f>'[13]1.RSP Districts '!P112</f>
        <v>60</v>
      </c>
      <c r="Q112" s="105">
        <f t="shared" si="19"/>
        <v>0</v>
      </c>
      <c r="R112" s="81" t="s">
        <v>6</v>
      </c>
      <c r="S112" s="1">
        <v>1</v>
      </c>
      <c r="T112" s="163"/>
    </row>
    <row r="113" spans="1:20" s="7" customFormat="1" ht="14.25" x14ac:dyDescent="0.2">
      <c r="A113" s="23">
        <v>7</v>
      </c>
      <c r="B113" s="24" t="s">
        <v>115</v>
      </c>
      <c r="C113" s="25">
        <v>55</v>
      </c>
      <c r="D113" s="25">
        <v>50</v>
      </c>
      <c r="E113" s="39">
        <v>50</v>
      </c>
      <c r="F113" s="105">
        <f t="shared" si="15"/>
        <v>0</v>
      </c>
      <c r="G113" s="105">
        <f t="shared" si="16"/>
        <v>90.909090909090907</v>
      </c>
      <c r="H113" s="39">
        <v>492</v>
      </c>
      <c r="I113" s="39">
        <v>492</v>
      </c>
      <c r="J113" s="25">
        <v>208270</v>
      </c>
      <c r="K113" s="25">
        <v>131700</v>
      </c>
      <c r="L113" s="39">
        <f>'[2]1.RSP Districts '!L113</f>
        <v>133476</v>
      </c>
      <c r="M113" s="105">
        <f t="shared" si="17"/>
        <v>1.3485193621867881</v>
      </c>
      <c r="N113" s="105">
        <f t="shared" si="18"/>
        <v>64.087962740673177</v>
      </c>
      <c r="O113" s="25">
        <v>9548</v>
      </c>
      <c r="P113" s="39">
        <f>'[2]1.RSP Districts '!P113</f>
        <v>9665</v>
      </c>
      <c r="Q113" s="105">
        <f t="shared" si="19"/>
        <v>1.2253875157100964</v>
      </c>
      <c r="R113" s="32" t="s">
        <v>5</v>
      </c>
      <c r="S113" s="1">
        <v>1</v>
      </c>
      <c r="T113" s="163"/>
    </row>
    <row r="114" spans="1:20" s="7" customFormat="1" ht="14.25" x14ac:dyDescent="0.2">
      <c r="A114" s="23">
        <v>7</v>
      </c>
      <c r="B114" s="24" t="s">
        <v>248</v>
      </c>
      <c r="C114" s="25">
        <v>55</v>
      </c>
      <c r="D114" s="25">
        <v>0</v>
      </c>
      <c r="E114" s="25">
        <f>'[12]1.RSP Districts '!E113</f>
        <v>0</v>
      </c>
      <c r="F114" s="105">
        <v>0</v>
      </c>
      <c r="G114" s="105">
        <f t="shared" si="16"/>
        <v>0</v>
      </c>
      <c r="H114" s="25">
        <v>0</v>
      </c>
      <c r="I114" s="25">
        <f>'[12]1.RSP Districts '!H113</f>
        <v>0</v>
      </c>
      <c r="J114" s="25">
        <v>208270</v>
      </c>
      <c r="K114" s="25">
        <v>20260</v>
      </c>
      <c r="L114" s="25">
        <f>'[13]1.RSP Districts '!L114</f>
        <v>20260</v>
      </c>
      <c r="M114" s="105">
        <f t="shared" si="17"/>
        <v>0</v>
      </c>
      <c r="N114" s="105">
        <f t="shared" si="18"/>
        <v>9.7277572382004145</v>
      </c>
      <c r="O114" s="25">
        <v>1302</v>
      </c>
      <c r="P114" s="25">
        <f>'[13]1.RSP Districts '!P114</f>
        <v>1302</v>
      </c>
      <c r="Q114" s="105">
        <f t="shared" si="19"/>
        <v>0</v>
      </c>
      <c r="R114" s="32" t="s">
        <v>6</v>
      </c>
      <c r="S114" s="1">
        <v>1</v>
      </c>
      <c r="T114" s="163"/>
    </row>
    <row r="115" spans="1:20" s="7" customFormat="1" ht="14.25" x14ac:dyDescent="0.2">
      <c r="A115" s="23">
        <v>8</v>
      </c>
      <c r="B115" s="24" t="s">
        <v>116</v>
      </c>
      <c r="C115" s="25">
        <v>71</v>
      </c>
      <c r="D115" s="25">
        <v>71</v>
      </c>
      <c r="E115" s="25">
        <f>'[12]1.RSP Districts '!E114</f>
        <v>71</v>
      </c>
      <c r="F115" s="105">
        <f t="shared" si="15"/>
        <v>0</v>
      </c>
      <c r="G115" s="105">
        <f t="shared" si="16"/>
        <v>100</v>
      </c>
      <c r="H115" s="25">
        <v>336</v>
      </c>
      <c r="I115" s="25">
        <f>'[12]1.RSP Districts '!H114</f>
        <v>336</v>
      </c>
      <c r="J115" s="25">
        <v>121639.04761904762</v>
      </c>
      <c r="K115" s="25">
        <v>59508</v>
      </c>
      <c r="L115" s="25">
        <f>'[13]1.RSP Districts '!L115</f>
        <v>61005</v>
      </c>
      <c r="M115" s="105">
        <f t="shared" si="17"/>
        <v>2.5156281508368621</v>
      </c>
      <c r="N115" s="105">
        <f t="shared" si="18"/>
        <v>50.152480797989369</v>
      </c>
      <c r="O115" s="25">
        <v>3896</v>
      </c>
      <c r="P115" s="25">
        <f>'[13]1.RSP Districts '!P115</f>
        <v>3984</v>
      </c>
      <c r="Q115" s="105">
        <f t="shared" si="19"/>
        <v>2.2587268993839835</v>
      </c>
      <c r="R115" s="32" t="s">
        <v>6</v>
      </c>
      <c r="S115" s="1">
        <v>1</v>
      </c>
      <c r="T115" s="163"/>
    </row>
    <row r="116" spans="1:20" s="7" customFormat="1" ht="14.25" x14ac:dyDescent="0.2">
      <c r="A116" s="23">
        <v>9</v>
      </c>
      <c r="B116" s="24" t="s">
        <v>117</v>
      </c>
      <c r="C116" s="25">
        <v>97</v>
      </c>
      <c r="D116" s="25">
        <v>62</v>
      </c>
      <c r="E116" s="25">
        <f>'[12]1.RSP Districts '!E115</f>
        <v>62</v>
      </c>
      <c r="F116" s="105">
        <f t="shared" si="15"/>
        <v>0</v>
      </c>
      <c r="G116" s="105">
        <f t="shared" si="16"/>
        <v>63.917525773195877</v>
      </c>
      <c r="H116" s="25">
        <v>372</v>
      </c>
      <c r="I116" s="25">
        <f>'[12]1.RSP Districts '!H115</f>
        <v>372</v>
      </c>
      <c r="J116" s="25">
        <v>47026</v>
      </c>
      <c r="K116" s="25">
        <v>52485</v>
      </c>
      <c r="L116" s="25">
        <f>'[13]1.RSP Districts '!L116</f>
        <v>54211</v>
      </c>
      <c r="M116" s="105">
        <f t="shared" si="17"/>
        <v>3.2885586358007046</v>
      </c>
      <c r="N116" s="105">
        <f t="shared" si="18"/>
        <v>115.27878195041042</v>
      </c>
      <c r="O116" s="25">
        <v>2993</v>
      </c>
      <c r="P116" s="25">
        <f>'[13]1.RSP Districts '!P116</f>
        <v>3051</v>
      </c>
      <c r="Q116" s="105">
        <f t="shared" si="19"/>
        <v>1.9378549949883062</v>
      </c>
      <c r="R116" s="32" t="s">
        <v>6</v>
      </c>
      <c r="S116" s="1">
        <v>1</v>
      </c>
      <c r="T116" s="163"/>
    </row>
    <row r="117" spans="1:20" s="7" customFormat="1" ht="14.25" x14ac:dyDescent="0.2">
      <c r="A117" s="23">
        <v>10</v>
      </c>
      <c r="B117" s="24" t="s">
        <v>118</v>
      </c>
      <c r="C117" s="25">
        <v>87</v>
      </c>
      <c r="D117" s="25">
        <v>35</v>
      </c>
      <c r="E117" s="25">
        <f>'[12]1.RSP Districts '!E116</f>
        <v>35</v>
      </c>
      <c r="F117" s="105">
        <f t="shared" si="15"/>
        <v>0</v>
      </c>
      <c r="G117" s="105">
        <f t="shared" si="16"/>
        <v>40.229885057471265</v>
      </c>
      <c r="H117" s="25">
        <v>368</v>
      </c>
      <c r="I117" s="25">
        <f>'[12]1.RSP Districts '!H116</f>
        <v>368</v>
      </c>
      <c r="J117" s="25">
        <v>111973</v>
      </c>
      <c r="K117" s="25">
        <v>47721</v>
      </c>
      <c r="L117" s="25">
        <f>'[13]1.RSP Districts '!L117</f>
        <v>48630</v>
      </c>
      <c r="M117" s="105">
        <f t="shared" si="17"/>
        <v>1.9048217765763502</v>
      </c>
      <c r="N117" s="105">
        <f t="shared" si="18"/>
        <v>43.430112616434322</v>
      </c>
      <c r="O117" s="25">
        <v>3046</v>
      </c>
      <c r="P117" s="25">
        <f>'[13]1.RSP Districts '!P117</f>
        <v>3095</v>
      </c>
      <c r="Q117" s="105">
        <f t="shared" si="19"/>
        <v>1.608667104399212</v>
      </c>
      <c r="R117" s="32" t="s">
        <v>6</v>
      </c>
      <c r="S117" s="1">
        <v>1</v>
      </c>
      <c r="T117" s="163"/>
    </row>
    <row r="118" spans="1:20" s="7" customFormat="1" ht="14.25" x14ac:dyDescent="0.2">
      <c r="A118" s="23">
        <v>11</v>
      </c>
      <c r="B118" s="24" t="s">
        <v>119</v>
      </c>
      <c r="C118" s="25">
        <v>40</v>
      </c>
      <c r="D118" s="25">
        <v>16</v>
      </c>
      <c r="E118" s="25">
        <f>'[12]1.RSP Districts '!E117</f>
        <v>16</v>
      </c>
      <c r="F118" s="105">
        <f t="shared" si="15"/>
        <v>0</v>
      </c>
      <c r="G118" s="105">
        <f t="shared" si="16"/>
        <v>40</v>
      </c>
      <c r="H118" s="25">
        <v>108</v>
      </c>
      <c r="I118" s="25">
        <f>'[12]1.RSP Districts '!H117</f>
        <v>108</v>
      </c>
      <c r="J118" s="25">
        <v>164715</v>
      </c>
      <c r="K118" s="25">
        <v>28220</v>
      </c>
      <c r="L118" s="25">
        <f>'[13]1.RSP Districts '!L118</f>
        <v>29089</v>
      </c>
      <c r="M118" s="105">
        <f t="shared" si="17"/>
        <v>3.0793763288447908</v>
      </c>
      <c r="N118" s="105">
        <f t="shared" si="18"/>
        <v>17.660200953161521</v>
      </c>
      <c r="O118" s="25">
        <v>1739</v>
      </c>
      <c r="P118" s="25">
        <f>'[13]1.RSP Districts '!P118</f>
        <v>1787</v>
      </c>
      <c r="Q118" s="105">
        <f t="shared" si="19"/>
        <v>2.7602070155261642</v>
      </c>
      <c r="R118" s="32" t="s">
        <v>6</v>
      </c>
      <c r="S118" s="1">
        <v>1</v>
      </c>
      <c r="T118" s="163"/>
    </row>
    <row r="119" spans="1:20" s="7" customFormat="1" ht="14.25" x14ac:dyDescent="0.2">
      <c r="A119" s="23">
        <v>12</v>
      </c>
      <c r="B119" s="24" t="s">
        <v>120</v>
      </c>
      <c r="C119" s="25">
        <v>79</v>
      </c>
      <c r="D119" s="25">
        <v>21</v>
      </c>
      <c r="E119" s="25">
        <f>'[12]1.RSP Districts '!E118</f>
        <v>21</v>
      </c>
      <c r="F119" s="105">
        <f t="shared" si="15"/>
        <v>0</v>
      </c>
      <c r="G119" s="105">
        <f t="shared" si="16"/>
        <v>26.582278481012658</v>
      </c>
      <c r="H119" s="25">
        <v>181</v>
      </c>
      <c r="I119" s="25">
        <f>'[12]1.RSP Districts '!H118</f>
        <v>181</v>
      </c>
      <c r="J119" s="25">
        <v>141671</v>
      </c>
      <c r="K119" s="25">
        <v>27461</v>
      </c>
      <c r="L119" s="25">
        <f>'[13]1.RSP Districts '!L119</f>
        <v>28048</v>
      </c>
      <c r="M119" s="105">
        <f t="shared" si="17"/>
        <v>2.137576927278686</v>
      </c>
      <c r="N119" s="105">
        <f t="shared" si="18"/>
        <v>19.797982649942472</v>
      </c>
      <c r="O119" s="25">
        <v>1882</v>
      </c>
      <c r="P119" s="25">
        <f>'[13]1.RSP Districts '!P119</f>
        <v>1922</v>
      </c>
      <c r="Q119" s="105">
        <f t="shared" si="19"/>
        <v>2.1253985122210413</v>
      </c>
      <c r="R119" s="32" t="s">
        <v>6</v>
      </c>
      <c r="S119" s="1">
        <v>1</v>
      </c>
      <c r="T119" s="163"/>
    </row>
    <row r="120" spans="1:20" s="7" customFormat="1" ht="14.25" x14ac:dyDescent="0.2">
      <c r="A120" s="23">
        <v>13</v>
      </c>
      <c r="B120" s="24" t="s">
        <v>121</v>
      </c>
      <c r="C120" s="25">
        <v>50</v>
      </c>
      <c r="D120" s="25">
        <v>35</v>
      </c>
      <c r="E120" s="39">
        <v>35</v>
      </c>
      <c r="F120" s="105">
        <f t="shared" si="15"/>
        <v>0</v>
      </c>
      <c r="G120" s="105">
        <f t="shared" si="16"/>
        <v>70</v>
      </c>
      <c r="H120" s="39">
        <v>637</v>
      </c>
      <c r="I120" s="40">
        <v>637</v>
      </c>
      <c r="J120" s="30">
        <v>128408</v>
      </c>
      <c r="K120" s="25">
        <v>41870</v>
      </c>
      <c r="L120" s="39">
        <f>'[2]1.RSP Districts '!L120</f>
        <v>41997</v>
      </c>
      <c r="M120" s="105">
        <f t="shared" si="17"/>
        <v>0.30331979937903036</v>
      </c>
      <c r="N120" s="105">
        <f t="shared" si="18"/>
        <v>32.705906174070151</v>
      </c>
      <c r="O120" s="25">
        <v>2383</v>
      </c>
      <c r="P120" s="39">
        <f>'[2]1.RSP Districts '!P120</f>
        <v>2394</v>
      </c>
      <c r="Q120" s="105">
        <f t="shared" si="19"/>
        <v>0.46160302140159465</v>
      </c>
      <c r="R120" s="32" t="s">
        <v>5</v>
      </c>
      <c r="S120" s="1">
        <v>1</v>
      </c>
      <c r="T120" s="163"/>
    </row>
    <row r="121" spans="1:20" s="7" customFormat="1" ht="14.25" x14ac:dyDescent="0.2">
      <c r="A121" s="23">
        <v>14</v>
      </c>
      <c r="B121" s="24" t="s">
        <v>122</v>
      </c>
      <c r="C121" s="25">
        <v>89</v>
      </c>
      <c r="D121" s="25">
        <v>7</v>
      </c>
      <c r="E121" s="25">
        <f>'[12]1.RSP Districts '!E120</f>
        <v>7</v>
      </c>
      <c r="F121" s="105">
        <f t="shared" si="15"/>
        <v>0</v>
      </c>
      <c r="G121" s="105">
        <f t="shared" si="16"/>
        <v>7.8651685393258424</v>
      </c>
      <c r="H121" s="25">
        <v>20</v>
      </c>
      <c r="I121" s="25">
        <f>'[12]1.RSP Districts '!H120</f>
        <v>20</v>
      </c>
      <c r="J121" s="25">
        <v>122340</v>
      </c>
      <c r="K121" s="25">
        <v>11035</v>
      </c>
      <c r="L121" s="25">
        <f>'[13]1.RSP Districts '!L121</f>
        <v>11323</v>
      </c>
      <c r="M121" s="105">
        <f t="shared" si="17"/>
        <v>2.6098776619845947</v>
      </c>
      <c r="N121" s="105">
        <f t="shared" si="18"/>
        <v>9.255353931665848</v>
      </c>
      <c r="O121" s="25">
        <v>847</v>
      </c>
      <c r="P121" s="25">
        <f>'[13]1.RSP Districts '!P121</f>
        <v>868</v>
      </c>
      <c r="Q121" s="105">
        <f t="shared" si="19"/>
        <v>2.4793388429752063</v>
      </c>
      <c r="R121" s="32" t="s">
        <v>6</v>
      </c>
      <c r="S121" s="1">
        <v>1</v>
      </c>
      <c r="T121" s="163"/>
    </row>
    <row r="122" spans="1:20" s="7" customFormat="1" ht="14.25" x14ac:dyDescent="0.2">
      <c r="A122" s="23">
        <v>15</v>
      </c>
      <c r="B122" s="24" t="s">
        <v>123</v>
      </c>
      <c r="C122" s="25">
        <v>98</v>
      </c>
      <c r="D122" s="25">
        <v>19</v>
      </c>
      <c r="E122" s="25">
        <v>20</v>
      </c>
      <c r="F122" s="105">
        <f t="shared" si="15"/>
        <v>5.2631578947368425</v>
      </c>
      <c r="G122" s="105">
        <f t="shared" si="16"/>
        <v>20.408163265306122</v>
      </c>
      <c r="H122" s="25">
        <v>129</v>
      </c>
      <c r="I122" s="25">
        <f>'[12]1.RSP Districts '!H121</f>
        <v>129</v>
      </c>
      <c r="J122" s="25">
        <v>122340</v>
      </c>
      <c r="K122" s="25">
        <v>26551</v>
      </c>
      <c r="L122" s="25">
        <f>'[13]1.RSP Districts '!L122</f>
        <v>27240</v>
      </c>
      <c r="M122" s="105">
        <f t="shared" si="17"/>
        <v>2.5950058378215513</v>
      </c>
      <c r="N122" s="105">
        <f t="shared" si="18"/>
        <v>22.265816576753309</v>
      </c>
      <c r="O122" s="25">
        <v>1631</v>
      </c>
      <c r="P122" s="25">
        <f>'[13]1.RSP Districts '!P122</f>
        <v>1678</v>
      </c>
      <c r="Q122" s="105">
        <f t="shared" si="19"/>
        <v>2.8816676885346415</v>
      </c>
      <c r="R122" s="32" t="s">
        <v>6</v>
      </c>
      <c r="S122" s="1">
        <v>1</v>
      </c>
      <c r="T122" s="163"/>
    </row>
    <row r="123" spans="1:20" ht="14.25" x14ac:dyDescent="0.2">
      <c r="A123" s="23">
        <v>15</v>
      </c>
      <c r="B123" s="24" t="s">
        <v>124</v>
      </c>
      <c r="C123" s="25">
        <v>98</v>
      </c>
      <c r="D123" s="25">
        <v>70</v>
      </c>
      <c r="E123" s="39">
        <v>70</v>
      </c>
      <c r="F123" s="105">
        <f t="shared" si="15"/>
        <v>0</v>
      </c>
      <c r="G123" s="105">
        <f t="shared" si="16"/>
        <v>71.428571428571431</v>
      </c>
      <c r="H123" s="39">
        <v>305</v>
      </c>
      <c r="I123" s="39">
        <v>305</v>
      </c>
      <c r="J123" s="25">
        <v>78458</v>
      </c>
      <c r="K123" s="25">
        <v>17775</v>
      </c>
      <c r="L123" s="39">
        <f>'[2]1.RSP Districts '!L123</f>
        <v>17775</v>
      </c>
      <c r="M123" s="105">
        <f t="shared" si="17"/>
        <v>0</v>
      </c>
      <c r="N123" s="105">
        <f t="shared" si="18"/>
        <v>22.655433480333425</v>
      </c>
      <c r="O123" s="25">
        <v>1662</v>
      </c>
      <c r="P123" s="39">
        <f>'[2]1.RSP Districts '!P123</f>
        <v>1662</v>
      </c>
      <c r="Q123" s="105">
        <f t="shared" si="19"/>
        <v>0</v>
      </c>
      <c r="R123" s="27" t="s">
        <v>5</v>
      </c>
      <c r="S123" s="1">
        <v>1</v>
      </c>
      <c r="T123" s="163"/>
    </row>
    <row r="124" spans="1:20" s="7" customFormat="1" ht="14.25" x14ac:dyDescent="0.2">
      <c r="A124" s="23">
        <v>16</v>
      </c>
      <c r="B124" s="24" t="s">
        <v>125</v>
      </c>
      <c r="C124" s="25">
        <v>49</v>
      </c>
      <c r="D124" s="25">
        <v>45</v>
      </c>
      <c r="E124" s="39">
        <v>45</v>
      </c>
      <c r="F124" s="105">
        <f t="shared" si="15"/>
        <v>0</v>
      </c>
      <c r="G124" s="105">
        <f t="shared" si="16"/>
        <v>91.83673469387756</v>
      </c>
      <c r="H124" s="39">
        <v>329</v>
      </c>
      <c r="I124" s="40">
        <v>329</v>
      </c>
      <c r="J124" s="30">
        <v>47082</v>
      </c>
      <c r="K124" s="25">
        <v>135856</v>
      </c>
      <c r="L124" s="39">
        <f>'[2]1.RSP Districts '!L124</f>
        <v>136288</v>
      </c>
      <c r="M124" s="105">
        <f t="shared" si="17"/>
        <v>0.31798374749735014</v>
      </c>
      <c r="N124" s="105">
        <f t="shared" si="18"/>
        <v>289.46943630262098</v>
      </c>
      <c r="O124" s="25">
        <v>7790</v>
      </c>
      <c r="P124" s="39">
        <f>'[2]1.RSP Districts '!P124</f>
        <v>7814</v>
      </c>
      <c r="Q124" s="105">
        <f t="shared" si="19"/>
        <v>0.30808729139922975</v>
      </c>
      <c r="R124" s="32" t="s">
        <v>5</v>
      </c>
      <c r="S124" s="1">
        <v>1</v>
      </c>
      <c r="T124" s="163"/>
    </row>
    <row r="125" spans="1:20" s="7" customFormat="1" ht="14.25" x14ac:dyDescent="0.2">
      <c r="A125" s="23">
        <v>17</v>
      </c>
      <c r="B125" s="24" t="s">
        <v>126</v>
      </c>
      <c r="C125" s="25">
        <v>30</v>
      </c>
      <c r="D125" s="25">
        <v>27</v>
      </c>
      <c r="E125" s="25">
        <f>'[12]1.RSP Districts '!E124</f>
        <v>27</v>
      </c>
      <c r="F125" s="105">
        <f t="shared" si="15"/>
        <v>0</v>
      </c>
      <c r="G125" s="105">
        <f t="shared" si="16"/>
        <v>90</v>
      </c>
      <c r="H125" s="25">
        <v>156</v>
      </c>
      <c r="I125" s="25">
        <f>'[12]1.RSP Districts '!H124</f>
        <v>156</v>
      </c>
      <c r="J125" s="25">
        <v>39648</v>
      </c>
      <c r="K125" s="25">
        <v>40588</v>
      </c>
      <c r="L125" s="25">
        <f>'[13]1.RSP Districts '!L125</f>
        <v>41319</v>
      </c>
      <c r="M125" s="105">
        <f t="shared" si="17"/>
        <v>1.8010249334778752</v>
      </c>
      <c r="N125" s="105">
        <f t="shared" si="18"/>
        <v>104.21458837772397</v>
      </c>
      <c r="O125" s="25">
        <v>2719</v>
      </c>
      <c r="P125" s="25">
        <f>'[13]1.RSP Districts '!P125</f>
        <v>2781</v>
      </c>
      <c r="Q125" s="105">
        <f t="shared" si="19"/>
        <v>2.2802500919455682</v>
      </c>
      <c r="R125" s="32" t="s">
        <v>6</v>
      </c>
      <c r="S125" s="1">
        <v>1</v>
      </c>
      <c r="T125" s="163"/>
    </row>
    <row r="126" spans="1:20" s="7" customFormat="1" ht="14.25" x14ac:dyDescent="0.2">
      <c r="A126" s="23">
        <v>18</v>
      </c>
      <c r="B126" s="24" t="s">
        <v>127</v>
      </c>
      <c r="C126" s="25">
        <v>44</v>
      </c>
      <c r="D126" s="25">
        <v>24</v>
      </c>
      <c r="E126" s="25">
        <f>'[12]1.RSP Districts '!E125</f>
        <v>24</v>
      </c>
      <c r="F126" s="105">
        <f t="shared" si="15"/>
        <v>0</v>
      </c>
      <c r="G126" s="105">
        <f t="shared" si="16"/>
        <v>54.545454545454547</v>
      </c>
      <c r="H126" s="25">
        <v>346</v>
      </c>
      <c r="I126" s="25">
        <f>'[12]1.RSP Districts '!H125</f>
        <v>346</v>
      </c>
      <c r="J126" s="25">
        <v>159486</v>
      </c>
      <c r="K126" s="25">
        <v>121192</v>
      </c>
      <c r="L126" s="25">
        <f>'[13]1.RSP Districts '!L126</f>
        <v>122284</v>
      </c>
      <c r="M126" s="105">
        <f t="shared" si="17"/>
        <v>0.90104957422932197</v>
      </c>
      <c r="N126" s="105">
        <f t="shared" si="18"/>
        <v>76.673814629497258</v>
      </c>
      <c r="O126" s="25">
        <v>8028</v>
      </c>
      <c r="P126" s="25">
        <f>'[13]1.RSP Districts '!P126</f>
        <v>8095</v>
      </c>
      <c r="Q126" s="105">
        <f t="shared" si="19"/>
        <v>0.8345789735924265</v>
      </c>
      <c r="R126" s="32" t="s">
        <v>6</v>
      </c>
      <c r="S126" s="1">
        <v>1</v>
      </c>
      <c r="T126" s="163"/>
    </row>
    <row r="127" spans="1:20" s="7" customFormat="1" ht="14.25" x14ac:dyDescent="0.2">
      <c r="A127" s="23">
        <v>19</v>
      </c>
      <c r="B127" s="24" t="s">
        <v>128</v>
      </c>
      <c r="C127" s="25">
        <v>70</v>
      </c>
      <c r="D127" s="25">
        <v>70</v>
      </c>
      <c r="E127" s="39">
        <v>70</v>
      </c>
      <c r="F127" s="105">
        <f t="shared" si="15"/>
        <v>0</v>
      </c>
      <c r="G127" s="105">
        <f t="shared" si="16"/>
        <v>100</v>
      </c>
      <c r="H127" s="39">
        <v>386</v>
      </c>
      <c r="I127" s="40">
        <v>386</v>
      </c>
      <c r="J127" s="30">
        <v>202554</v>
      </c>
      <c r="K127" s="25">
        <v>46705</v>
      </c>
      <c r="L127" s="39">
        <f>'[2]1.RSP Districts '!L127</f>
        <v>46705</v>
      </c>
      <c r="M127" s="105">
        <f t="shared" si="17"/>
        <v>0</v>
      </c>
      <c r="N127" s="105">
        <f t="shared" si="18"/>
        <v>23.058048717872765</v>
      </c>
      <c r="O127" s="25">
        <v>3886</v>
      </c>
      <c r="P127" s="39">
        <f>'[2]1.RSP Districts '!P127</f>
        <v>3886</v>
      </c>
      <c r="Q127" s="105">
        <f t="shared" si="19"/>
        <v>0</v>
      </c>
      <c r="R127" s="32" t="s">
        <v>5</v>
      </c>
      <c r="S127" s="1">
        <v>1</v>
      </c>
      <c r="T127" s="163"/>
    </row>
    <row r="128" spans="1:20" s="7" customFormat="1" ht="14.25" x14ac:dyDescent="0.2">
      <c r="A128" s="23">
        <v>19</v>
      </c>
      <c r="B128" s="24" t="s">
        <v>241</v>
      </c>
      <c r="C128" s="25">
        <v>70</v>
      </c>
      <c r="D128" s="25">
        <v>5</v>
      </c>
      <c r="E128" s="25">
        <f>'[12]1.RSP Districts '!E127</f>
        <v>5</v>
      </c>
      <c r="F128" s="105">
        <f t="shared" si="15"/>
        <v>0</v>
      </c>
      <c r="G128" s="105">
        <f t="shared" si="16"/>
        <v>7.1428571428571432</v>
      </c>
      <c r="H128" s="25">
        <v>14</v>
      </c>
      <c r="I128" s="25">
        <f>'[12]1.RSP Districts '!H127</f>
        <v>14</v>
      </c>
      <c r="J128" s="30">
        <v>202554</v>
      </c>
      <c r="K128" s="25">
        <v>4039</v>
      </c>
      <c r="L128" s="25">
        <f>'[13]1.RSP Districts '!L128</f>
        <v>4712</v>
      </c>
      <c r="M128" s="105">
        <f t="shared" si="17"/>
        <v>16.662540232730873</v>
      </c>
      <c r="N128" s="105">
        <f t="shared" si="18"/>
        <v>2.3262932353841443</v>
      </c>
      <c r="O128" s="25">
        <v>269</v>
      </c>
      <c r="P128" s="25">
        <f>'[13]1.RSP Districts '!P128</f>
        <v>313</v>
      </c>
      <c r="Q128" s="105">
        <f t="shared" si="19"/>
        <v>16.356877323420075</v>
      </c>
      <c r="R128" s="32" t="s">
        <v>6</v>
      </c>
      <c r="S128" s="1">
        <v>1</v>
      </c>
      <c r="T128" s="163"/>
    </row>
    <row r="129" spans="1:20" s="7" customFormat="1" ht="14.25" x14ac:dyDescent="0.2">
      <c r="A129" s="23">
        <v>20</v>
      </c>
      <c r="B129" s="24" t="s">
        <v>129</v>
      </c>
      <c r="C129" s="25">
        <v>65</v>
      </c>
      <c r="D129" s="25">
        <v>53</v>
      </c>
      <c r="E129" s="25">
        <f>'[12]1.RSP Districts '!E128</f>
        <v>53</v>
      </c>
      <c r="F129" s="105">
        <f t="shared" si="15"/>
        <v>0</v>
      </c>
      <c r="G129" s="105">
        <f t="shared" si="16"/>
        <v>81.538461538461533</v>
      </c>
      <c r="H129" s="25">
        <v>244</v>
      </c>
      <c r="I129" s="25">
        <f>'[12]1.RSP Districts '!H128</f>
        <v>244</v>
      </c>
      <c r="J129" s="25">
        <v>106515</v>
      </c>
      <c r="K129" s="25">
        <v>34720</v>
      </c>
      <c r="L129" s="25">
        <f>'[13]1.RSP Districts '!L129</f>
        <v>36057</v>
      </c>
      <c r="M129" s="105">
        <f t="shared" si="17"/>
        <v>3.8508064516129035</v>
      </c>
      <c r="N129" s="105">
        <f t="shared" si="18"/>
        <v>33.851570201380085</v>
      </c>
      <c r="O129" s="25">
        <v>2263</v>
      </c>
      <c r="P129" s="25">
        <f>'[13]1.RSP Districts '!P129</f>
        <v>2342</v>
      </c>
      <c r="Q129" s="105">
        <f t="shared" si="19"/>
        <v>3.4909412284577996</v>
      </c>
      <c r="R129" s="32" t="s">
        <v>6</v>
      </c>
      <c r="S129" s="1">
        <v>1</v>
      </c>
      <c r="T129" s="163"/>
    </row>
    <row r="130" spans="1:20" s="7" customFormat="1" ht="14.25" x14ac:dyDescent="0.2">
      <c r="A130" s="23">
        <v>20</v>
      </c>
      <c r="B130" s="24" t="s">
        <v>275</v>
      </c>
      <c r="C130" s="25">
        <v>65</v>
      </c>
      <c r="D130" s="25">
        <v>9</v>
      </c>
      <c r="E130" s="25">
        <v>9</v>
      </c>
      <c r="F130" s="105">
        <f t="shared" ref="F130" si="20">(E130-D130)/D130%</f>
        <v>0</v>
      </c>
      <c r="G130" s="105">
        <f t="shared" ref="G130" si="21">E130/C130%</f>
        <v>13.846153846153845</v>
      </c>
      <c r="H130" s="25">
        <v>21</v>
      </c>
      <c r="I130" s="25">
        <v>21</v>
      </c>
      <c r="J130" s="25">
        <v>106515</v>
      </c>
      <c r="K130" s="25">
        <v>317</v>
      </c>
      <c r="L130" s="39">
        <f>'[2]1.RSP Districts '!L130</f>
        <v>317</v>
      </c>
      <c r="M130" s="105">
        <f t="shared" ref="M130" si="22">(L130-K130)/K130%</f>
        <v>0</v>
      </c>
      <c r="N130" s="105">
        <f t="shared" ref="N130" si="23">L130/J130%</f>
        <v>0.29761066516453077</v>
      </c>
      <c r="O130" s="25">
        <v>18</v>
      </c>
      <c r="P130" s="39">
        <f>'[2]1.RSP Districts '!P130</f>
        <v>30</v>
      </c>
      <c r="Q130" s="105">
        <f t="shared" ref="Q130" si="24">(P130-O130)/O130%</f>
        <v>66.666666666666671</v>
      </c>
      <c r="R130" s="32" t="s">
        <v>5</v>
      </c>
      <c r="S130" s="1">
        <v>1</v>
      </c>
      <c r="T130" s="163" t="s">
        <v>276</v>
      </c>
    </row>
    <row r="131" spans="1:20" s="7" customFormat="1" ht="14.25" x14ac:dyDescent="0.2">
      <c r="A131" s="23">
        <v>21</v>
      </c>
      <c r="B131" s="24" t="s">
        <v>130</v>
      </c>
      <c r="C131" s="25">
        <v>53</v>
      </c>
      <c r="D131" s="25">
        <v>56</v>
      </c>
      <c r="E131" s="39">
        <v>56</v>
      </c>
      <c r="F131" s="105">
        <f t="shared" si="15"/>
        <v>0</v>
      </c>
      <c r="G131" s="105">
        <f t="shared" si="16"/>
        <v>105.66037735849056</v>
      </c>
      <c r="H131" s="39">
        <v>228</v>
      </c>
      <c r="I131" s="40">
        <v>228</v>
      </c>
      <c r="J131" s="30">
        <v>120486</v>
      </c>
      <c r="K131" s="25">
        <v>73800</v>
      </c>
      <c r="L131" s="39">
        <f>'[2]1.RSP Districts '!L131</f>
        <v>73919</v>
      </c>
      <c r="M131" s="105">
        <f t="shared" si="17"/>
        <v>0.16124661246612465</v>
      </c>
      <c r="N131" s="105">
        <f t="shared" si="18"/>
        <v>61.350696346463494</v>
      </c>
      <c r="O131" s="25">
        <v>4203</v>
      </c>
      <c r="P131" s="39">
        <f>'[2]1.RSP Districts '!P131</f>
        <v>4210</v>
      </c>
      <c r="Q131" s="105">
        <f t="shared" si="19"/>
        <v>0.16654770402093741</v>
      </c>
      <c r="R131" s="32" t="s">
        <v>5</v>
      </c>
      <c r="S131" s="1">
        <v>1</v>
      </c>
      <c r="T131" s="163"/>
    </row>
    <row r="132" spans="1:20" s="7" customFormat="1" ht="14.25" x14ac:dyDescent="0.2">
      <c r="A132" s="23">
        <v>22</v>
      </c>
      <c r="B132" s="24" t="s">
        <v>131</v>
      </c>
      <c r="C132" s="25">
        <v>69</v>
      </c>
      <c r="D132" s="25">
        <v>22</v>
      </c>
      <c r="E132" s="25">
        <f>'[12]1.RSP Districts '!E131</f>
        <v>22</v>
      </c>
      <c r="F132" s="105">
        <f t="shared" si="15"/>
        <v>0</v>
      </c>
      <c r="G132" s="105">
        <f t="shared" si="16"/>
        <v>31.884057971014496</v>
      </c>
      <c r="H132" s="25">
        <v>148</v>
      </c>
      <c r="I132" s="25">
        <f>'[12]1.RSP Districts '!H131</f>
        <v>148</v>
      </c>
      <c r="J132" s="25">
        <v>261678</v>
      </c>
      <c r="K132" s="25">
        <v>35212</v>
      </c>
      <c r="L132" s="25">
        <f>'[13]1.RSP Districts '!L131</f>
        <v>35212</v>
      </c>
      <c r="M132" s="105">
        <f t="shared" si="17"/>
        <v>0</v>
      </c>
      <c r="N132" s="105">
        <f t="shared" si="18"/>
        <v>13.456232468912173</v>
      </c>
      <c r="O132" s="25">
        <v>2382</v>
      </c>
      <c r="P132" s="25">
        <f>'[13]1.RSP Districts '!P131</f>
        <v>2382</v>
      </c>
      <c r="Q132" s="105">
        <f t="shared" si="19"/>
        <v>0</v>
      </c>
      <c r="R132" s="32" t="s">
        <v>6</v>
      </c>
      <c r="S132" s="1">
        <v>1</v>
      </c>
      <c r="T132" s="163"/>
    </row>
    <row r="133" spans="1:20" ht="14.25" x14ac:dyDescent="0.2">
      <c r="A133" s="23">
        <v>22</v>
      </c>
      <c r="B133" s="24" t="s">
        <v>132</v>
      </c>
      <c r="C133" s="25">
        <v>69</v>
      </c>
      <c r="D133" s="25">
        <v>58</v>
      </c>
      <c r="E133" s="39">
        <v>58</v>
      </c>
      <c r="F133" s="105">
        <f t="shared" si="15"/>
        <v>0</v>
      </c>
      <c r="G133" s="105">
        <f t="shared" si="16"/>
        <v>84.057971014492765</v>
      </c>
      <c r="H133" s="39">
        <v>169</v>
      </c>
      <c r="I133" s="39">
        <v>169</v>
      </c>
      <c r="J133" s="25">
        <v>261678</v>
      </c>
      <c r="K133" s="25">
        <v>17654</v>
      </c>
      <c r="L133" s="39">
        <f>'[2]1.RSP Districts '!L133</f>
        <v>17654</v>
      </c>
      <c r="M133" s="105">
        <f t="shared" si="17"/>
        <v>0</v>
      </c>
      <c r="N133" s="105">
        <f t="shared" si="18"/>
        <v>6.7464593890200932</v>
      </c>
      <c r="O133" s="25">
        <v>1958</v>
      </c>
      <c r="P133" s="39">
        <f>'[2]1.RSP Districts '!P133</f>
        <v>1958</v>
      </c>
      <c r="Q133" s="105">
        <f t="shared" si="19"/>
        <v>0</v>
      </c>
      <c r="R133" s="27" t="s">
        <v>5</v>
      </c>
      <c r="S133" s="1">
        <v>1</v>
      </c>
      <c r="T133" s="163"/>
    </row>
    <row r="134" spans="1:20" s="7" customFormat="1" ht="14.25" x14ac:dyDescent="0.2">
      <c r="A134" s="23">
        <v>23</v>
      </c>
      <c r="B134" s="24" t="s">
        <v>133</v>
      </c>
      <c r="C134" s="25">
        <v>93</v>
      </c>
      <c r="D134" s="25">
        <v>16</v>
      </c>
      <c r="E134" s="25">
        <f>'[12]1.RSP Districts '!E133</f>
        <v>16</v>
      </c>
      <c r="F134" s="105">
        <f t="shared" si="15"/>
        <v>0</v>
      </c>
      <c r="G134" s="105">
        <f t="shared" si="16"/>
        <v>17.204301075268816</v>
      </c>
      <c r="H134" s="25">
        <v>256</v>
      </c>
      <c r="I134" s="25">
        <f>'[12]1.RSP Districts '!H133</f>
        <v>256</v>
      </c>
      <c r="J134" s="25">
        <v>317647</v>
      </c>
      <c r="K134" s="25">
        <v>147022</v>
      </c>
      <c r="L134" s="25">
        <f>'[13]1.RSP Districts '!L133</f>
        <v>147681</v>
      </c>
      <c r="M134" s="105">
        <f t="shared" si="17"/>
        <v>0.448232237352233</v>
      </c>
      <c r="N134" s="105">
        <f t="shared" si="18"/>
        <v>46.492175276328759</v>
      </c>
      <c r="O134" s="25">
        <v>8926</v>
      </c>
      <c r="P134" s="25">
        <f>'[13]1.RSP Districts '!P133</f>
        <v>8967</v>
      </c>
      <c r="Q134" s="105">
        <f t="shared" si="19"/>
        <v>0.45933228769885726</v>
      </c>
      <c r="R134" s="32" t="s">
        <v>6</v>
      </c>
      <c r="S134" s="1">
        <v>1</v>
      </c>
      <c r="T134" s="163"/>
    </row>
    <row r="135" spans="1:20" ht="14.25" x14ac:dyDescent="0.2">
      <c r="A135" s="23">
        <v>23</v>
      </c>
      <c r="B135" s="24" t="s">
        <v>134</v>
      </c>
      <c r="C135" s="25">
        <v>93</v>
      </c>
      <c r="D135" s="25">
        <v>24</v>
      </c>
      <c r="E135" s="39">
        <v>24</v>
      </c>
      <c r="F135" s="105">
        <f t="shared" si="15"/>
        <v>0</v>
      </c>
      <c r="G135" s="105">
        <f t="shared" si="16"/>
        <v>25.806451612903224</v>
      </c>
      <c r="H135" s="39">
        <v>0</v>
      </c>
      <c r="I135" s="39">
        <v>0</v>
      </c>
      <c r="J135" s="25">
        <v>317647</v>
      </c>
      <c r="K135" s="25">
        <v>0</v>
      </c>
      <c r="L135" s="39">
        <f>'[2]1.RSP Districts '!L135</f>
        <v>0</v>
      </c>
      <c r="M135" s="105">
        <v>0</v>
      </c>
      <c r="N135" s="105">
        <f t="shared" si="18"/>
        <v>0</v>
      </c>
      <c r="O135" s="25">
        <v>0</v>
      </c>
      <c r="P135" s="39">
        <f>'[2]1.RSP Districts '!P135</f>
        <v>0</v>
      </c>
      <c r="Q135" s="105">
        <v>0</v>
      </c>
      <c r="R135" s="27" t="s">
        <v>5</v>
      </c>
      <c r="S135" s="1">
        <v>1</v>
      </c>
      <c r="T135" s="163"/>
    </row>
    <row r="136" spans="1:20" ht="14.25" x14ac:dyDescent="0.2">
      <c r="A136" s="23">
        <v>24</v>
      </c>
      <c r="B136" s="24" t="s">
        <v>249</v>
      </c>
      <c r="C136" s="25">
        <v>65</v>
      </c>
      <c r="D136" s="25">
        <v>0</v>
      </c>
      <c r="E136" s="25">
        <f>'[12]1.RSP Districts '!E135</f>
        <v>0</v>
      </c>
      <c r="F136" s="105">
        <v>0</v>
      </c>
      <c r="G136" s="105">
        <f t="shared" si="16"/>
        <v>0</v>
      </c>
      <c r="H136" s="25">
        <v>0</v>
      </c>
      <c r="I136" s="25">
        <f>'[12]1.RSP Districts '!H135</f>
        <v>0</v>
      </c>
      <c r="J136" s="25">
        <v>187137</v>
      </c>
      <c r="K136" s="25">
        <v>695</v>
      </c>
      <c r="L136" s="25">
        <f>'[13]1.RSP Districts '!L135</f>
        <v>695</v>
      </c>
      <c r="M136" s="105">
        <f t="shared" si="17"/>
        <v>0</v>
      </c>
      <c r="N136" s="105">
        <f t="shared" si="18"/>
        <v>0.37138566932247502</v>
      </c>
      <c r="O136" s="25">
        <v>45</v>
      </c>
      <c r="P136" s="25">
        <f>'[13]1.RSP Districts '!P135</f>
        <v>45</v>
      </c>
      <c r="Q136" s="105">
        <f t="shared" si="19"/>
        <v>0</v>
      </c>
      <c r="R136" s="81" t="s">
        <v>6</v>
      </c>
      <c r="S136" s="1">
        <v>1</v>
      </c>
      <c r="T136" s="163"/>
    </row>
    <row r="137" spans="1:20" s="7" customFormat="1" ht="14.25" x14ac:dyDescent="0.2">
      <c r="A137" s="23">
        <v>25</v>
      </c>
      <c r="B137" s="24" t="s">
        <v>135</v>
      </c>
      <c r="C137" s="25">
        <v>74</v>
      </c>
      <c r="D137" s="25">
        <v>61</v>
      </c>
      <c r="E137" s="25">
        <f>'[12]1.RSP Districts '!E136</f>
        <v>61</v>
      </c>
      <c r="F137" s="105">
        <f t="shared" si="15"/>
        <v>0</v>
      </c>
      <c r="G137" s="105">
        <f t="shared" si="16"/>
        <v>82.432432432432435</v>
      </c>
      <c r="H137" s="25">
        <v>554</v>
      </c>
      <c r="I137" s="25">
        <f>'[12]1.RSP Districts '!H136</f>
        <v>554</v>
      </c>
      <c r="J137" s="25">
        <v>150406</v>
      </c>
      <c r="K137" s="25">
        <v>109194</v>
      </c>
      <c r="L137" s="25">
        <f>'[13]1.RSP Districts '!L136</f>
        <v>111650</v>
      </c>
      <c r="M137" s="105">
        <f t="shared" si="17"/>
        <v>2.2492078319321571</v>
      </c>
      <c r="N137" s="105">
        <f t="shared" si="18"/>
        <v>74.232410941052891</v>
      </c>
      <c r="O137" s="25">
        <v>5296</v>
      </c>
      <c r="P137" s="25">
        <f>'[13]1.RSP Districts '!P136</f>
        <v>5388</v>
      </c>
      <c r="Q137" s="105">
        <f t="shared" si="19"/>
        <v>1.7371601208459215</v>
      </c>
      <c r="R137" s="32" t="s">
        <v>6</v>
      </c>
      <c r="S137" s="1">
        <v>1</v>
      </c>
      <c r="T137" s="163"/>
    </row>
    <row r="138" spans="1:20" s="7" customFormat="1" ht="14.25" x14ac:dyDescent="0.2">
      <c r="A138" s="23">
        <v>26</v>
      </c>
      <c r="B138" s="24" t="s">
        <v>136</v>
      </c>
      <c r="C138" s="25">
        <v>111</v>
      </c>
      <c r="D138" s="25">
        <v>27</v>
      </c>
      <c r="E138" s="25">
        <f>'[12]1.RSP Districts '!E137</f>
        <v>27</v>
      </c>
      <c r="F138" s="105">
        <f t="shared" si="15"/>
        <v>0</v>
      </c>
      <c r="G138" s="105">
        <f t="shared" si="16"/>
        <v>24.324324324324323</v>
      </c>
      <c r="H138" s="25">
        <v>229</v>
      </c>
      <c r="I138" s="25">
        <f>'[12]1.RSP Districts '!H137</f>
        <v>229</v>
      </c>
      <c r="J138" s="25">
        <v>270191</v>
      </c>
      <c r="K138" s="25">
        <v>33086</v>
      </c>
      <c r="L138" s="25">
        <f>'[13]1.RSP Districts '!L137</f>
        <v>34016</v>
      </c>
      <c r="M138" s="105">
        <f t="shared" si="17"/>
        <v>2.8108565556428702</v>
      </c>
      <c r="N138" s="105">
        <f t="shared" si="18"/>
        <v>12.589612533356034</v>
      </c>
      <c r="O138" s="25">
        <v>2185</v>
      </c>
      <c r="P138" s="25">
        <f>'[13]1.RSP Districts '!P137</f>
        <v>2247</v>
      </c>
      <c r="Q138" s="105">
        <f t="shared" si="19"/>
        <v>2.8375286041189929</v>
      </c>
      <c r="R138" s="32" t="s">
        <v>6</v>
      </c>
      <c r="S138" s="1">
        <v>1</v>
      </c>
      <c r="T138" s="163"/>
    </row>
    <row r="139" spans="1:20" s="7" customFormat="1" ht="14.25" x14ac:dyDescent="0.2">
      <c r="A139" s="23">
        <v>27</v>
      </c>
      <c r="B139" s="24" t="s">
        <v>137</v>
      </c>
      <c r="C139" s="25">
        <v>63</v>
      </c>
      <c r="D139" s="25">
        <v>20</v>
      </c>
      <c r="E139" s="25">
        <f>'[12]1.RSP Districts '!E138</f>
        <v>20</v>
      </c>
      <c r="F139" s="105">
        <f t="shared" si="15"/>
        <v>0</v>
      </c>
      <c r="G139" s="105">
        <f t="shared" si="16"/>
        <v>31.746031746031747</v>
      </c>
      <c r="H139" s="25">
        <v>174</v>
      </c>
      <c r="I139" s="25">
        <f>'[12]1.RSP Districts '!H138</f>
        <v>174</v>
      </c>
      <c r="J139" s="25">
        <v>174888</v>
      </c>
      <c r="K139" s="25">
        <v>22982</v>
      </c>
      <c r="L139" s="25">
        <f>'[13]1.RSP Districts '!L138</f>
        <v>23556</v>
      </c>
      <c r="M139" s="105">
        <f t="shared" si="17"/>
        <v>2.497606822730833</v>
      </c>
      <c r="N139" s="105">
        <f t="shared" si="18"/>
        <v>13.469191711266639</v>
      </c>
      <c r="O139" s="25">
        <v>1488</v>
      </c>
      <c r="P139" s="25">
        <f>'[13]1.RSP Districts '!P138</f>
        <v>1526</v>
      </c>
      <c r="Q139" s="105">
        <f t="shared" si="19"/>
        <v>2.553763440860215</v>
      </c>
      <c r="R139" s="32" t="s">
        <v>6</v>
      </c>
      <c r="S139" s="1">
        <v>1</v>
      </c>
      <c r="T139" s="163"/>
    </row>
    <row r="140" spans="1:20" ht="14.25" x14ac:dyDescent="0.2">
      <c r="A140" s="23">
        <v>27</v>
      </c>
      <c r="B140" s="24" t="s">
        <v>138</v>
      </c>
      <c r="C140" s="25">
        <v>63</v>
      </c>
      <c r="D140" s="25">
        <v>54</v>
      </c>
      <c r="E140" s="39">
        <v>54</v>
      </c>
      <c r="F140" s="105">
        <f t="shared" si="15"/>
        <v>0</v>
      </c>
      <c r="G140" s="105">
        <f t="shared" si="16"/>
        <v>85.714285714285708</v>
      </c>
      <c r="H140" s="39">
        <v>291</v>
      </c>
      <c r="I140" s="39">
        <v>291</v>
      </c>
      <c r="J140" s="25">
        <v>174888</v>
      </c>
      <c r="K140" s="25">
        <v>12295</v>
      </c>
      <c r="L140" s="39">
        <f>'[2]1.RSP Districts '!L140</f>
        <v>12295</v>
      </c>
      <c r="M140" s="105">
        <f t="shared" si="17"/>
        <v>0</v>
      </c>
      <c r="N140" s="105">
        <f t="shared" si="18"/>
        <v>7.0302136224326421</v>
      </c>
      <c r="O140" s="25">
        <v>1486</v>
      </c>
      <c r="P140" s="39">
        <f>'[2]1.RSP Districts '!P140</f>
        <v>1486</v>
      </c>
      <c r="Q140" s="105">
        <f t="shared" si="19"/>
        <v>0</v>
      </c>
      <c r="R140" s="27" t="s">
        <v>5</v>
      </c>
      <c r="S140" s="1">
        <v>1</v>
      </c>
      <c r="T140" s="163"/>
    </row>
    <row r="141" spans="1:20" s="7" customFormat="1" ht="14.25" x14ac:dyDescent="0.2">
      <c r="A141" s="23">
        <v>28</v>
      </c>
      <c r="B141" s="24" t="s">
        <v>139</v>
      </c>
      <c r="C141" s="25">
        <v>103</v>
      </c>
      <c r="D141" s="25">
        <v>103</v>
      </c>
      <c r="E141" s="39">
        <v>103</v>
      </c>
      <c r="F141" s="105">
        <f t="shared" si="15"/>
        <v>0</v>
      </c>
      <c r="G141" s="105">
        <f t="shared" si="16"/>
        <v>100</v>
      </c>
      <c r="H141" s="39">
        <v>474</v>
      </c>
      <c r="I141" s="40">
        <v>474</v>
      </c>
      <c r="J141" s="30">
        <v>338677</v>
      </c>
      <c r="K141" s="25">
        <v>76621</v>
      </c>
      <c r="L141" s="39">
        <f>'[2]1.RSP Districts '!L141</f>
        <v>77383</v>
      </c>
      <c r="M141" s="105">
        <f t="shared" si="17"/>
        <v>0.99450542279531717</v>
      </c>
      <c r="N141" s="105">
        <f t="shared" si="18"/>
        <v>22.848613871033464</v>
      </c>
      <c r="O141" s="25">
        <v>6999</v>
      </c>
      <c r="P141" s="39">
        <f>'[2]1.RSP Districts '!P141</f>
        <v>7071</v>
      </c>
      <c r="Q141" s="105">
        <f t="shared" si="19"/>
        <v>1.0287183883411917</v>
      </c>
      <c r="R141" s="32" t="s">
        <v>5</v>
      </c>
      <c r="S141" s="1">
        <v>1</v>
      </c>
      <c r="T141" s="163"/>
    </row>
    <row r="142" spans="1:20" s="7" customFormat="1" ht="14.25" x14ac:dyDescent="0.2">
      <c r="A142" s="23">
        <v>29</v>
      </c>
      <c r="B142" s="24" t="s">
        <v>140</v>
      </c>
      <c r="C142" s="25">
        <v>44</v>
      </c>
      <c r="D142" s="25">
        <v>43</v>
      </c>
      <c r="E142" s="39">
        <v>43</v>
      </c>
      <c r="F142" s="105">
        <f t="shared" si="15"/>
        <v>0</v>
      </c>
      <c r="G142" s="105">
        <f t="shared" si="16"/>
        <v>97.727272727272734</v>
      </c>
      <c r="H142" s="39">
        <v>373</v>
      </c>
      <c r="I142" s="40">
        <v>373</v>
      </c>
      <c r="J142" s="30">
        <v>133182</v>
      </c>
      <c r="K142" s="25">
        <v>100373</v>
      </c>
      <c r="L142" s="39">
        <f>'[2]1.RSP Districts '!L142</f>
        <v>101355</v>
      </c>
      <c r="M142" s="105">
        <f t="shared" si="17"/>
        <v>0.97835075169617325</v>
      </c>
      <c r="N142" s="105">
        <f t="shared" si="18"/>
        <v>76.102626481056006</v>
      </c>
      <c r="O142" s="25">
        <v>6702</v>
      </c>
      <c r="P142" s="39">
        <f>'[2]1.RSP Districts '!P142</f>
        <v>6754</v>
      </c>
      <c r="Q142" s="105">
        <f t="shared" si="19"/>
        <v>0.77588779468815283</v>
      </c>
      <c r="R142" s="32" t="s">
        <v>5</v>
      </c>
      <c r="S142" s="1">
        <v>1</v>
      </c>
      <c r="T142" s="163"/>
    </row>
    <row r="143" spans="1:20" s="7" customFormat="1" ht="14.25" x14ac:dyDescent="0.2">
      <c r="A143" s="23">
        <v>29</v>
      </c>
      <c r="B143" s="24" t="s">
        <v>250</v>
      </c>
      <c r="C143" s="25">
        <v>44</v>
      </c>
      <c r="D143" s="25">
        <v>0</v>
      </c>
      <c r="E143" s="25">
        <f>'[12]1.RSP Districts '!E142</f>
        <v>0</v>
      </c>
      <c r="F143" s="105">
        <v>0</v>
      </c>
      <c r="G143" s="105">
        <f t="shared" si="16"/>
        <v>0</v>
      </c>
      <c r="H143" s="25">
        <v>0</v>
      </c>
      <c r="I143" s="25">
        <f>'[12]1.RSP Districts '!H142</f>
        <v>0</v>
      </c>
      <c r="J143" s="25">
        <v>133182</v>
      </c>
      <c r="K143" s="25">
        <v>18650</v>
      </c>
      <c r="L143" s="25">
        <f>'[13]1.RSP Districts '!L142</f>
        <v>18650</v>
      </c>
      <c r="M143" s="105">
        <f t="shared" si="17"/>
        <v>0</v>
      </c>
      <c r="N143" s="105">
        <f t="shared" si="18"/>
        <v>14.003393852022045</v>
      </c>
      <c r="O143" s="25">
        <v>1218</v>
      </c>
      <c r="P143" s="25">
        <f>'[13]1.RSP Districts '!P142</f>
        <v>1218</v>
      </c>
      <c r="Q143" s="105">
        <f t="shared" si="19"/>
        <v>0</v>
      </c>
      <c r="R143" s="32" t="s">
        <v>6</v>
      </c>
      <c r="S143" s="1">
        <v>1</v>
      </c>
      <c r="T143" s="163"/>
    </row>
    <row r="144" spans="1:20" s="7" customFormat="1" ht="14.25" x14ac:dyDescent="0.2">
      <c r="A144" s="23">
        <v>30</v>
      </c>
      <c r="B144" s="24" t="s">
        <v>141</v>
      </c>
      <c r="C144" s="25">
        <v>58</v>
      </c>
      <c r="D144" s="25">
        <v>58</v>
      </c>
      <c r="E144" s="39">
        <v>58</v>
      </c>
      <c r="F144" s="105">
        <f t="shared" si="15"/>
        <v>0</v>
      </c>
      <c r="G144" s="105">
        <f t="shared" si="16"/>
        <v>100</v>
      </c>
      <c r="H144" s="39">
        <v>319</v>
      </c>
      <c r="I144" s="40">
        <v>319</v>
      </c>
      <c r="J144" s="30">
        <v>256911</v>
      </c>
      <c r="K144" s="25">
        <v>88956</v>
      </c>
      <c r="L144" s="39">
        <f>'[2]1.RSP Districts '!L144</f>
        <v>88956</v>
      </c>
      <c r="M144" s="105">
        <f t="shared" si="17"/>
        <v>0</v>
      </c>
      <c r="N144" s="105">
        <f t="shared" si="18"/>
        <v>34.62522040706704</v>
      </c>
      <c r="O144" s="25">
        <v>6023</v>
      </c>
      <c r="P144" s="39">
        <f>'[2]1.RSP Districts '!P144</f>
        <v>6023</v>
      </c>
      <c r="Q144" s="105">
        <f t="shared" si="19"/>
        <v>0</v>
      </c>
      <c r="R144" s="32" t="s">
        <v>5</v>
      </c>
      <c r="S144" s="1">
        <v>1</v>
      </c>
      <c r="T144" s="163"/>
    </row>
    <row r="145" spans="1:20" s="7" customFormat="1" ht="14.25" x14ac:dyDescent="0.2">
      <c r="A145" s="23">
        <v>31</v>
      </c>
      <c r="B145" s="24" t="s">
        <v>142</v>
      </c>
      <c r="C145" s="25">
        <v>83</v>
      </c>
      <c r="D145" s="25">
        <v>39</v>
      </c>
      <c r="E145" s="25">
        <f>'[12]1.RSP Districts '!E144</f>
        <v>39</v>
      </c>
      <c r="F145" s="105">
        <f t="shared" si="15"/>
        <v>0</v>
      </c>
      <c r="G145" s="105">
        <f t="shared" si="16"/>
        <v>46.987951807228917</v>
      </c>
      <c r="H145" s="25">
        <v>272</v>
      </c>
      <c r="I145" s="25">
        <f>'[12]1.RSP Districts '!H144</f>
        <v>272</v>
      </c>
      <c r="J145" s="25">
        <v>227413</v>
      </c>
      <c r="K145" s="25">
        <v>43068</v>
      </c>
      <c r="L145" s="25">
        <f>'[13]1.RSP Districts '!L144</f>
        <v>44088</v>
      </c>
      <c r="M145" s="105">
        <f t="shared" si="17"/>
        <v>2.3683477291724713</v>
      </c>
      <c r="N145" s="105">
        <f t="shared" si="18"/>
        <v>19.386754495125608</v>
      </c>
      <c r="O145" s="25">
        <v>2707</v>
      </c>
      <c r="P145" s="25">
        <f>'[13]1.RSP Districts '!P144</f>
        <v>2775</v>
      </c>
      <c r="Q145" s="105">
        <f t="shared" si="19"/>
        <v>2.5120059106021424</v>
      </c>
      <c r="R145" s="32" t="s">
        <v>6</v>
      </c>
      <c r="S145" s="1">
        <v>1</v>
      </c>
      <c r="T145" s="163"/>
    </row>
    <row r="146" spans="1:20" ht="14.25" x14ac:dyDescent="0.2">
      <c r="A146" s="23">
        <v>31</v>
      </c>
      <c r="B146" s="24" t="s">
        <v>143</v>
      </c>
      <c r="C146" s="25">
        <v>83</v>
      </c>
      <c r="D146" s="25">
        <v>52</v>
      </c>
      <c r="E146" s="39">
        <v>52</v>
      </c>
      <c r="F146" s="105">
        <f t="shared" si="15"/>
        <v>0</v>
      </c>
      <c r="G146" s="105">
        <f t="shared" si="16"/>
        <v>62.650602409638559</v>
      </c>
      <c r="H146" s="39">
        <v>218</v>
      </c>
      <c r="I146" s="39">
        <v>218</v>
      </c>
      <c r="J146" s="25">
        <v>227413</v>
      </c>
      <c r="K146" s="25">
        <v>12414</v>
      </c>
      <c r="L146" s="39">
        <f>'[2]1.RSP Districts '!L146</f>
        <v>12414</v>
      </c>
      <c r="M146" s="105">
        <f t="shared" si="17"/>
        <v>0</v>
      </c>
      <c r="N146" s="105">
        <f t="shared" si="18"/>
        <v>5.4587908342970719</v>
      </c>
      <c r="O146" s="25">
        <v>1201</v>
      </c>
      <c r="P146" s="39">
        <f>'[2]1.RSP Districts '!P146</f>
        <v>1201</v>
      </c>
      <c r="Q146" s="105">
        <f t="shared" si="19"/>
        <v>0</v>
      </c>
      <c r="R146" s="27" t="s">
        <v>5</v>
      </c>
      <c r="S146" s="1">
        <v>1</v>
      </c>
      <c r="T146" s="163"/>
    </row>
    <row r="147" spans="1:20" s="7" customFormat="1" ht="14.25" x14ac:dyDescent="0.2">
      <c r="A147" s="23">
        <v>32</v>
      </c>
      <c r="B147" s="24" t="s">
        <v>144</v>
      </c>
      <c r="C147" s="25">
        <v>132</v>
      </c>
      <c r="D147" s="25">
        <v>57</v>
      </c>
      <c r="E147" s="25">
        <f>'[12]1.RSP Districts '!E146</f>
        <v>57</v>
      </c>
      <c r="F147" s="105">
        <f t="shared" si="15"/>
        <v>0</v>
      </c>
      <c r="G147" s="105">
        <f t="shared" si="16"/>
        <v>43.18181818181818</v>
      </c>
      <c r="H147" s="25">
        <v>224</v>
      </c>
      <c r="I147" s="25">
        <f>'[12]1.RSP Districts '!H146</f>
        <v>224</v>
      </c>
      <c r="J147" s="25">
        <v>303958</v>
      </c>
      <c r="K147" s="25">
        <v>47660</v>
      </c>
      <c r="L147" s="25">
        <f>'[13]1.RSP Districts '!L146</f>
        <v>48838</v>
      </c>
      <c r="M147" s="105">
        <f t="shared" si="17"/>
        <v>2.4716743600503568</v>
      </c>
      <c r="N147" s="105">
        <f t="shared" si="18"/>
        <v>16.067351410392227</v>
      </c>
      <c r="O147" s="25">
        <v>2978</v>
      </c>
      <c r="P147" s="25">
        <f>'[13]1.RSP Districts '!P146</f>
        <v>3046</v>
      </c>
      <c r="Q147" s="105">
        <f t="shared" si="19"/>
        <v>2.2834116856950972</v>
      </c>
      <c r="R147" s="32" t="s">
        <v>6</v>
      </c>
      <c r="S147" s="1">
        <v>1</v>
      </c>
      <c r="T147" s="163"/>
    </row>
    <row r="148" spans="1:20" s="7" customFormat="1" ht="14.25" x14ac:dyDescent="0.2">
      <c r="A148" s="23">
        <v>32</v>
      </c>
      <c r="B148" s="24" t="s">
        <v>264</v>
      </c>
      <c r="C148" s="25">
        <v>132</v>
      </c>
      <c r="D148" s="25">
        <v>116</v>
      </c>
      <c r="E148" s="39">
        <v>116</v>
      </c>
      <c r="F148" s="105">
        <v>0</v>
      </c>
      <c r="G148" s="105">
        <f t="shared" si="16"/>
        <v>87.878787878787875</v>
      </c>
      <c r="H148" s="39">
        <v>510</v>
      </c>
      <c r="I148" s="39">
        <v>510</v>
      </c>
      <c r="J148" s="25">
        <v>303958</v>
      </c>
      <c r="K148" s="25">
        <v>11321</v>
      </c>
      <c r="L148" s="39">
        <f>'[2]1.RSP Districts '!L148</f>
        <v>12311</v>
      </c>
      <c r="M148" s="105">
        <f t="shared" si="17"/>
        <v>8.7448105291052034</v>
      </c>
      <c r="N148" s="105">
        <f t="shared" si="18"/>
        <v>4.050230623967785</v>
      </c>
      <c r="O148" s="25">
        <v>998</v>
      </c>
      <c r="P148" s="39">
        <f>'[2]1.RSP Districts '!P148</f>
        <v>1091</v>
      </c>
      <c r="Q148" s="105">
        <f t="shared" si="19"/>
        <v>9.3186372745490971</v>
      </c>
      <c r="R148" s="32" t="s">
        <v>5</v>
      </c>
      <c r="S148" s="1">
        <v>1</v>
      </c>
      <c r="T148" s="163"/>
    </row>
    <row r="149" spans="1:20" s="7" customFormat="1" ht="14.25" x14ac:dyDescent="0.2">
      <c r="A149" s="23">
        <v>33</v>
      </c>
      <c r="B149" s="24" t="s">
        <v>145</v>
      </c>
      <c r="C149" s="25">
        <v>91</v>
      </c>
      <c r="D149" s="25">
        <v>10</v>
      </c>
      <c r="E149" s="25">
        <f>'[12]1.RSP Districts '!E148</f>
        <v>10</v>
      </c>
      <c r="F149" s="105">
        <f t="shared" si="15"/>
        <v>0</v>
      </c>
      <c r="G149" s="105">
        <f t="shared" si="16"/>
        <v>10.989010989010989</v>
      </c>
      <c r="H149" s="25">
        <v>143</v>
      </c>
      <c r="I149" s="25">
        <f>'[12]1.RSP Districts '!H148</f>
        <v>143</v>
      </c>
      <c r="J149" s="25">
        <v>207804.73300000001</v>
      </c>
      <c r="K149" s="25">
        <v>24686</v>
      </c>
      <c r="L149" s="25">
        <f>'[13]1.RSP Districts '!L148</f>
        <v>25433</v>
      </c>
      <c r="M149" s="105">
        <f t="shared" si="17"/>
        <v>3.0260066434416268</v>
      </c>
      <c r="N149" s="105">
        <f t="shared" si="18"/>
        <v>12.238893519330958</v>
      </c>
      <c r="O149" s="25">
        <v>1594</v>
      </c>
      <c r="P149" s="25">
        <f>'[13]1.RSP Districts '!P148</f>
        <v>1638</v>
      </c>
      <c r="Q149" s="105">
        <f t="shared" si="19"/>
        <v>2.7603513174404015</v>
      </c>
      <c r="R149" s="32" t="s">
        <v>6</v>
      </c>
      <c r="S149" s="1">
        <v>1</v>
      </c>
      <c r="T149" s="163"/>
    </row>
    <row r="150" spans="1:20" s="7" customFormat="1" ht="14.25" x14ac:dyDescent="0.2">
      <c r="A150" s="23">
        <v>34</v>
      </c>
      <c r="B150" s="24" t="s">
        <v>146</v>
      </c>
      <c r="C150" s="25">
        <v>94</v>
      </c>
      <c r="D150" s="25">
        <v>87</v>
      </c>
      <c r="E150" s="25">
        <f>'[12]1.RSP Districts '!E149</f>
        <v>87</v>
      </c>
      <c r="F150" s="105">
        <f t="shared" si="15"/>
        <v>0</v>
      </c>
      <c r="G150" s="105">
        <f t="shared" si="16"/>
        <v>92.553191489361708</v>
      </c>
      <c r="H150" s="25">
        <v>788</v>
      </c>
      <c r="I150" s="25">
        <f>'[12]1.RSP Districts '!H149</f>
        <v>788</v>
      </c>
      <c r="J150" s="25">
        <v>275204</v>
      </c>
      <c r="K150" s="25">
        <v>155729</v>
      </c>
      <c r="L150" s="25">
        <f>'[13]1.RSP Districts '!L149</f>
        <v>159798</v>
      </c>
      <c r="M150" s="105">
        <f t="shared" si="17"/>
        <v>2.6128723616025273</v>
      </c>
      <c r="N150" s="105">
        <f t="shared" si="18"/>
        <v>58.065289748695513</v>
      </c>
      <c r="O150" s="25">
        <v>6989</v>
      </c>
      <c r="P150" s="25">
        <f>'[13]1.RSP Districts '!P149</f>
        <v>7138</v>
      </c>
      <c r="Q150" s="105">
        <f t="shared" si="19"/>
        <v>2.1319215910716842</v>
      </c>
      <c r="R150" s="32" t="s">
        <v>6</v>
      </c>
      <c r="S150" s="1">
        <v>1</v>
      </c>
      <c r="T150" s="163"/>
    </row>
    <row r="151" spans="1:20" s="7" customFormat="1" ht="14.25" x14ac:dyDescent="0.2">
      <c r="A151" s="23">
        <v>35</v>
      </c>
      <c r="B151" s="24" t="s">
        <v>147</v>
      </c>
      <c r="C151" s="25">
        <v>79</v>
      </c>
      <c r="D151" s="25">
        <v>22</v>
      </c>
      <c r="E151" s="25">
        <f>'[12]1.RSP Districts '!E150</f>
        <v>22</v>
      </c>
      <c r="F151" s="105">
        <f t="shared" si="15"/>
        <v>0</v>
      </c>
      <c r="G151" s="105">
        <f t="shared" si="16"/>
        <v>27.848101265822784</v>
      </c>
      <c r="H151" s="25">
        <v>152</v>
      </c>
      <c r="I151" s="25">
        <f>'[12]1.RSP Districts '!H150</f>
        <v>152</v>
      </c>
      <c r="J151" s="25">
        <v>187555</v>
      </c>
      <c r="K151" s="25">
        <v>38010</v>
      </c>
      <c r="L151" s="25">
        <f>'[13]1.RSP Districts '!L150</f>
        <v>39174</v>
      </c>
      <c r="M151" s="105">
        <f t="shared" si="17"/>
        <v>3.0623520126282555</v>
      </c>
      <c r="N151" s="105">
        <f t="shared" si="18"/>
        <v>20.886673242515528</v>
      </c>
      <c r="O151" s="25">
        <v>2499</v>
      </c>
      <c r="P151" s="25">
        <f>'[13]1.RSP Districts '!P150</f>
        <v>2562</v>
      </c>
      <c r="Q151" s="105">
        <f t="shared" si="19"/>
        <v>2.5210084033613449</v>
      </c>
      <c r="R151" s="32" t="s">
        <v>6</v>
      </c>
      <c r="S151" s="1">
        <v>1</v>
      </c>
      <c r="T151" s="163"/>
    </row>
    <row r="152" spans="1:20" ht="14.25" x14ac:dyDescent="0.2">
      <c r="A152" s="23">
        <v>35</v>
      </c>
      <c r="B152" s="24" t="s">
        <v>148</v>
      </c>
      <c r="C152" s="25">
        <v>79</v>
      </c>
      <c r="D152" s="25">
        <v>61</v>
      </c>
      <c r="E152" s="39">
        <v>61</v>
      </c>
      <c r="F152" s="105">
        <f t="shared" si="15"/>
        <v>0</v>
      </c>
      <c r="G152" s="105">
        <f t="shared" si="16"/>
        <v>77.215189873417714</v>
      </c>
      <c r="H152" s="39">
        <v>214</v>
      </c>
      <c r="I152" s="39">
        <v>214</v>
      </c>
      <c r="J152" s="25">
        <v>187555</v>
      </c>
      <c r="K152" s="25">
        <v>13594</v>
      </c>
      <c r="L152" s="39">
        <f>'[2]1.RSP Districts '!L152</f>
        <v>13594</v>
      </c>
      <c r="M152" s="105">
        <f t="shared" si="17"/>
        <v>0</v>
      </c>
      <c r="N152" s="105">
        <f t="shared" si="18"/>
        <v>7.248007251206313</v>
      </c>
      <c r="O152" s="25">
        <v>1545</v>
      </c>
      <c r="P152" s="39">
        <f>'[2]1.RSP Districts '!P152</f>
        <v>1545</v>
      </c>
      <c r="Q152" s="105">
        <f t="shared" si="19"/>
        <v>0</v>
      </c>
      <c r="R152" s="27" t="s">
        <v>5</v>
      </c>
      <c r="S152" s="1">
        <v>1</v>
      </c>
      <c r="T152" s="163"/>
    </row>
    <row r="153" spans="1:20" s="7" customFormat="1" thickBot="1" x14ac:dyDescent="0.25">
      <c r="A153" s="37">
        <v>36</v>
      </c>
      <c r="B153" s="38" t="s">
        <v>149</v>
      </c>
      <c r="C153" s="39">
        <v>87</v>
      </c>
      <c r="D153" s="25">
        <v>80</v>
      </c>
      <c r="E153" s="39">
        <v>80</v>
      </c>
      <c r="F153" s="139">
        <f t="shared" si="15"/>
        <v>0</v>
      </c>
      <c r="G153" s="139">
        <f t="shared" si="16"/>
        <v>91.954022988505741</v>
      </c>
      <c r="H153" s="39">
        <v>528</v>
      </c>
      <c r="I153" s="40">
        <v>528</v>
      </c>
      <c r="J153" s="40">
        <v>257583</v>
      </c>
      <c r="K153" s="25">
        <v>39089</v>
      </c>
      <c r="L153" s="39">
        <f>'[2]1.RSP Districts '!L153</f>
        <v>39089</v>
      </c>
      <c r="M153" s="139">
        <f t="shared" si="17"/>
        <v>0</v>
      </c>
      <c r="N153" s="139">
        <f t="shared" si="18"/>
        <v>15.175302717958871</v>
      </c>
      <c r="O153" s="25">
        <v>3149</v>
      </c>
      <c r="P153" s="39">
        <f>'[2]1.RSP Districts '!P153</f>
        <v>3149</v>
      </c>
      <c r="Q153" s="139">
        <f t="shared" si="19"/>
        <v>0</v>
      </c>
      <c r="R153" s="42" t="s">
        <v>5</v>
      </c>
      <c r="S153" s="1">
        <v>1</v>
      </c>
      <c r="T153" s="163"/>
    </row>
    <row r="154" spans="1:20" s="5" customFormat="1" ht="15.75" thickBot="1" x14ac:dyDescent="0.3">
      <c r="A154" s="155">
        <f>COUNTIF(R106:R153,"*")-(12+2)</f>
        <v>34</v>
      </c>
      <c r="B154" s="154" t="s">
        <v>84</v>
      </c>
      <c r="C154" s="57">
        <f>SUM(C106:C153)-(C106+C114+C128+C122+C132+C135+C139+C143+C145+C151+C148+C130)</f>
        <v>2635</v>
      </c>
      <c r="D154" s="57">
        <f>SUM(D106:D153)-(D106+D114+D128+D122+D132+D135+D139+D143+D145+D151+D148+D130)</f>
        <v>1771</v>
      </c>
      <c r="E154" s="57">
        <f>SUM(E106:E153)-(E106+E114+E128+E122+E132+E135+E139+E143+E145+E151+E148+E130)</f>
        <v>1771</v>
      </c>
      <c r="F154" s="156">
        <f t="shared" si="15"/>
        <v>0</v>
      </c>
      <c r="G154" s="156">
        <f t="shared" si="16"/>
        <v>67.210626185958247</v>
      </c>
      <c r="H154" s="57">
        <f>SUM(H106:H153)</f>
        <v>13657</v>
      </c>
      <c r="I154" s="57">
        <f>SUM(I106:I153)</f>
        <v>13657</v>
      </c>
      <c r="J154" s="57">
        <f>SUM(J106:J153)-(J106+J114+J128+J122+J132+J135+J139+J143+J145+J151+J148+J130)</f>
        <v>6063823.2431565113</v>
      </c>
      <c r="K154" s="57">
        <f>SUM(K106:K153)</f>
        <v>2757286</v>
      </c>
      <c r="L154" s="57">
        <f>SUM(L106:L153)</f>
        <v>2786890</v>
      </c>
      <c r="M154" s="156">
        <f t="shared" si="17"/>
        <v>1.0736644657101222</v>
      </c>
      <c r="N154" s="156">
        <f t="shared" si="18"/>
        <v>45.959288195697638</v>
      </c>
      <c r="O154" s="57">
        <f>SUM(O106:O153)</f>
        <v>181118</v>
      </c>
      <c r="P154" s="57">
        <f>SUM(P106:P153)</f>
        <v>182798</v>
      </c>
      <c r="Q154" s="156">
        <f t="shared" si="19"/>
        <v>0.92757208008038949</v>
      </c>
      <c r="R154" s="158"/>
      <c r="S154" s="1">
        <v>1</v>
      </c>
      <c r="T154" s="163"/>
    </row>
    <row r="155" spans="1:20" ht="26.25" customHeight="1" thickBot="1" x14ac:dyDescent="0.25">
      <c r="A155" s="35"/>
      <c r="B155" s="36"/>
      <c r="C155" s="28"/>
      <c r="D155" s="28"/>
      <c r="E155" s="28"/>
      <c r="F155" s="106"/>
      <c r="G155" s="106"/>
      <c r="H155" s="106"/>
      <c r="I155" s="106"/>
      <c r="J155" s="28"/>
      <c r="K155" s="28"/>
      <c r="L155" s="28"/>
      <c r="M155" s="28"/>
      <c r="N155" s="28"/>
      <c r="O155" s="28"/>
      <c r="P155" s="28"/>
      <c r="Q155" s="28"/>
      <c r="R155" s="15"/>
      <c r="S155" s="1">
        <v>1</v>
      </c>
    </row>
    <row r="156" spans="1:20" s="6" customFormat="1" ht="14.25" x14ac:dyDescent="0.2">
      <c r="A156" s="18" t="s">
        <v>150</v>
      </c>
      <c r="B156" s="19"/>
      <c r="C156" s="20"/>
      <c r="D156" s="29"/>
      <c r="E156" s="29"/>
      <c r="F156" s="107"/>
      <c r="G156" s="107"/>
      <c r="H156" s="107"/>
      <c r="I156" s="107"/>
      <c r="J156" s="20"/>
      <c r="K156" s="29"/>
      <c r="L156" s="29"/>
      <c r="M156" s="29"/>
      <c r="N156" s="29"/>
      <c r="O156" s="29"/>
      <c r="P156" s="29"/>
      <c r="Q156" s="29"/>
      <c r="R156" s="22"/>
      <c r="S156" s="1">
        <v>1</v>
      </c>
    </row>
    <row r="157" spans="1:20" s="7" customFormat="1" ht="14.25" x14ac:dyDescent="0.2">
      <c r="A157" s="23">
        <v>1</v>
      </c>
      <c r="B157" s="24" t="s">
        <v>151</v>
      </c>
      <c r="C157" s="25">
        <v>19</v>
      </c>
      <c r="D157" s="25">
        <v>19</v>
      </c>
      <c r="E157" s="39">
        <v>19</v>
      </c>
      <c r="F157" s="105">
        <f t="shared" ref="F157:F173" si="25">(E157-D157)/D157%</f>
        <v>0</v>
      </c>
      <c r="G157" s="105">
        <f t="shared" ref="G157:G173" si="26">E157/C157%</f>
        <v>100</v>
      </c>
      <c r="H157" s="39">
        <v>106</v>
      </c>
      <c r="I157" s="40">
        <v>106</v>
      </c>
      <c r="J157" s="30">
        <v>46469.594594594593</v>
      </c>
      <c r="K157" s="25">
        <v>23761</v>
      </c>
      <c r="L157" s="39">
        <f>'[2]1.RSP Districts '!L157</f>
        <v>23825</v>
      </c>
      <c r="M157" s="105">
        <f t="shared" ref="M157:M173" si="27">(L157-K157)/K157%</f>
        <v>0.26934893312571018</v>
      </c>
      <c r="N157" s="105">
        <f t="shared" ref="N157:N173" si="28">L157/J157%</f>
        <v>51.270083605961467</v>
      </c>
      <c r="O157" s="25">
        <v>1262</v>
      </c>
      <c r="P157" s="39">
        <f>'[2]1.RSP Districts '!P157</f>
        <v>1267</v>
      </c>
      <c r="Q157" s="105">
        <f t="shared" ref="Q157:Q173" si="29">(P157-O157)/O157%</f>
        <v>0.39619651347068147</v>
      </c>
      <c r="R157" s="32" t="s">
        <v>5</v>
      </c>
      <c r="S157" s="1">
        <v>1</v>
      </c>
    </row>
    <row r="158" spans="1:20" s="7" customFormat="1" ht="14.25" x14ac:dyDescent="0.2">
      <c r="A158" s="23">
        <v>1</v>
      </c>
      <c r="B158" s="24" t="s">
        <v>178</v>
      </c>
      <c r="C158" s="25">
        <v>19</v>
      </c>
      <c r="D158" s="25">
        <v>10</v>
      </c>
      <c r="E158" s="25">
        <f>D158</f>
        <v>10</v>
      </c>
      <c r="F158" s="105">
        <f t="shared" si="25"/>
        <v>0</v>
      </c>
      <c r="G158" s="105">
        <f t="shared" si="26"/>
        <v>52.631578947368418</v>
      </c>
      <c r="H158" s="25">
        <v>53</v>
      </c>
      <c r="I158" s="25">
        <f>H158</f>
        <v>53</v>
      </c>
      <c r="J158" s="25">
        <v>46469.594594594593</v>
      </c>
      <c r="K158" s="25">
        <v>672</v>
      </c>
      <c r="L158" s="25">
        <f>K158</f>
        <v>672</v>
      </c>
      <c r="M158" s="105">
        <f t="shared" si="27"/>
        <v>0</v>
      </c>
      <c r="N158" s="105">
        <f t="shared" si="28"/>
        <v>1.4461068702290076</v>
      </c>
      <c r="O158" s="25">
        <v>32</v>
      </c>
      <c r="P158" s="25">
        <f>O158</f>
        <v>32</v>
      </c>
      <c r="Q158" s="105">
        <f t="shared" si="29"/>
        <v>0</v>
      </c>
      <c r="R158" s="32" t="s">
        <v>1</v>
      </c>
      <c r="S158" s="1">
        <v>1</v>
      </c>
    </row>
    <row r="159" spans="1:20" s="7" customFormat="1" ht="14.25" x14ac:dyDescent="0.2">
      <c r="A159" s="23">
        <v>2</v>
      </c>
      <c r="B159" s="24" t="s">
        <v>177</v>
      </c>
      <c r="C159" s="25">
        <v>13</v>
      </c>
      <c r="D159" s="25">
        <v>5</v>
      </c>
      <c r="E159" s="39">
        <v>5</v>
      </c>
      <c r="F159" s="105">
        <f t="shared" si="25"/>
        <v>0</v>
      </c>
      <c r="G159" s="105">
        <f t="shared" si="26"/>
        <v>38.46153846153846</v>
      </c>
      <c r="H159" s="39">
        <v>161</v>
      </c>
      <c r="I159" s="40">
        <v>161</v>
      </c>
      <c r="J159" s="30">
        <v>21296</v>
      </c>
      <c r="K159" s="25">
        <v>12914</v>
      </c>
      <c r="L159" s="39">
        <f>'[2]1.RSP Districts '!L159</f>
        <v>12914</v>
      </c>
      <c r="M159" s="105">
        <f t="shared" si="27"/>
        <v>0</v>
      </c>
      <c r="N159" s="105">
        <f t="shared" si="28"/>
        <v>60.640495867768593</v>
      </c>
      <c r="O159" s="25">
        <v>593</v>
      </c>
      <c r="P159" s="39">
        <f>'[2]1.RSP Districts '!P159</f>
        <v>593</v>
      </c>
      <c r="Q159" s="105">
        <f t="shared" si="29"/>
        <v>0</v>
      </c>
      <c r="R159" s="32" t="s">
        <v>5</v>
      </c>
      <c r="S159" s="1">
        <v>1</v>
      </c>
    </row>
    <row r="160" spans="1:20" s="7" customFormat="1" ht="14.25" x14ac:dyDescent="0.2">
      <c r="A160" s="23">
        <v>2</v>
      </c>
      <c r="B160" s="24" t="s">
        <v>179</v>
      </c>
      <c r="C160" s="25">
        <v>13</v>
      </c>
      <c r="D160" s="25">
        <v>10</v>
      </c>
      <c r="E160" s="25">
        <f>D160</f>
        <v>10</v>
      </c>
      <c r="F160" s="105">
        <f t="shared" si="25"/>
        <v>0</v>
      </c>
      <c r="G160" s="105">
        <f t="shared" si="26"/>
        <v>76.92307692307692</v>
      </c>
      <c r="H160" s="25">
        <v>77</v>
      </c>
      <c r="I160" s="25">
        <f>H160</f>
        <v>77</v>
      </c>
      <c r="J160" s="25">
        <v>21296</v>
      </c>
      <c r="K160" s="25">
        <v>16770</v>
      </c>
      <c r="L160" s="25">
        <f>K160</f>
        <v>16770</v>
      </c>
      <c r="M160" s="105">
        <f t="shared" si="27"/>
        <v>0</v>
      </c>
      <c r="N160" s="105">
        <f t="shared" si="28"/>
        <v>78.747182569496616</v>
      </c>
      <c r="O160" s="25">
        <v>827</v>
      </c>
      <c r="P160" s="25">
        <f>O160</f>
        <v>827</v>
      </c>
      <c r="Q160" s="105">
        <f t="shared" si="29"/>
        <v>0</v>
      </c>
      <c r="R160" s="32" t="s">
        <v>1</v>
      </c>
      <c r="S160" s="1">
        <v>1</v>
      </c>
    </row>
    <row r="161" spans="1:19" s="7" customFormat="1" ht="14.25" x14ac:dyDescent="0.2">
      <c r="A161" s="23">
        <v>3</v>
      </c>
      <c r="B161" s="24" t="s">
        <v>152</v>
      </c>
      <c r="C161" s="25">
        <v>38</v>
      </c>
      <c r="D161" s="25">
        <v>33</v>
      </c>
      <c r="E161" s="39">
        <v>33</v>
      </c>
      <c r="F161" s="105">
        <f t="shared" si="25"/>
        <v>0</v>
      </c>
      <c r="G161" s="105">
        <f t="shared" si="26"/>
        <v>86.84210526315789</v>
      </c>
      <c r="H161" s="39">
        <v>163</v>
      </c>
      <c r="I161" s="40">
        <v>163</v>
      </c>
      <c r="J161" s="30">
        <v>67482.876712328754</v>
      </c>
      <c r="K161" s="25">
        <v>39499</v>
      </c>
      <c r="L161" s="39">
        <f>'[2]1.RSP Districts '!L161</f>
        <v>39579</v>
      </c>
      <c r="M161" s="105">
        <f t="shared" si="27"/>
        <v>0.20253677308286286</v>
      </c>
      <c r="N161" s="105">
        <f t="shared" si="28"/>
        <v>58.650433900025384</v>
      </c>
      <c r="O161" s="25">
        <v>2292</v>
      </c>
      <c r="P161" s="39">
        <f>'[2]1.RSP Districts '!P161</f>
        <v>2294</v>
      </c>
      <c r="Q161" s="105">
        <f t="shared" si="29"/>
        <v>8.7260034904013961E-2</v>
      </c>
      <c r="R161" s="32" t="s">
        <v>5</v>
      </c>
      <c r="S161" s="1">
        <v>1</v>
      </c>
    </row>
    <row r="162" spans="1:19" s="7" customFormat="1" ht="14.25" x14ac:dyDescent="0.2">
      <c r="A162" s="23">
        <v>3</v>
      </c>
      <c r="B162" s="24" t="s">
        <v>153</v>
      </c>
      <c r="C162" s="25">
        <v>38</v>
      </c>
      <c r="D162" s="25">
        <v>36</v>
      </c>
      <c r="E162" s="25">
        <f>D162</f>
        <v>36</v>
      </c>
      <c r="F162" s="105">
        <f t="shared" si="25"/>
        <v>0</v>
      </c>
      <c r="G162" s="105">
        <f t="shared" si="26"/>
        <v>94.73684210526315</v>
      </c>
      <c r="H162" s="25">
        <v>95</v>
      </c>
      <c r="I162" s="25">
        <f>H162</f>
        <v>95</v>
      </c>
      <c r="J162" s="25">
        <v>67482.876712328754</v>
      </c>
      <c r="K162" s="25">
        <v>13807</v>
      </c>
      <c r="L162" s="25">
        <f>K162</f>
        <v>13807</v>
      </c>
      <c r="M162" s="105">
        <f t="shared" si="27"/>
        <v>0</v>
      </c>
      <c r="N162" s="105">
        <f t="shared" si="28"/>
        <v>20.460005074854102</v>
      </c>
      <c r="O162" s="25">
        <v>566</v>
      </c>
      <c r="P162" s="25">
        <f>O162</f>
        <v>566</v>
      </c>
      <c r="Q162" s="105">
        <f t="shared" si="29"/>
        <v>0</v>
      </c>
      <c r="R162" s="32" t="s">
        <v>1</v>
      </c>
      <c r="S162" s="1">
        <v>1</v>
      </c>
    </row>
    <row r="163" spans="1:19" s="7" customFormat="1" ht="14.25" x14ac:dyDescent="0.2">
      <c r="A163" s="23">
        <v>4</v>
      </c>
      <c r="B163" s="24" t="s">
        <v>154</v>
      </c>
      <c r="C163" s="25">
        <v>32</v>
      </c>
      <c r="D163" s="25">
        <v>18</v>
      </c>
      <c r="E163" s="39">
        <v>18</v>
      </c>
      <c r="F163" s="105">
        <f t="shared" si="25"/>
        <v>0</v>
      </c>
      <c r="G163" s="105">
        <f t="shared" si="26"/>
        <v>56.25</v>
      </c>
      <c r="H163" s="39">
        <v>415</v>
      </c>
      <c r="I163" s="39">
        <v>415</v>
      </c>
      <c r="J163" s="25">
        <v>60712</v>
      </c>
      <c r="K163" s="25">
        <v>21451</v>
      </c>
      <c r="L163" s="39">
        <f>'[2]1.RSP Districts '!L163</f>
        <v>21451</v>
      </c>
      <c r="M163" s="105">
        <f t="shared" si="27"/>
        <v>0</v>
      </c>
      <c r="N163" s="105">
        <f t="shared" si="28"/>
        <v>35.332388984055868</v>
      </c>
      <c r="O163" s="25">
        <v>992</v>
      </c>
      <c r="P163" s="39">
        <f>'[2]1.RSP Districts '!P163</f>
        <v>992</v>
      </c>
      <c r="Q163" s="105">
        <f t="shared" si="29"/>
        <v>0</v>
      </c>
      <c r="R163" s="32" t="s">
        <v>5</v>
      </c>
      <c r="S163" s="1">
        <v>1</v>
      </c>
    </row>
    <row r="164" spans="1:19" s="7" customFormat="1" ht="14.25" x14ac:dyDescent="0.2">
      <c r="A164" s="23">
        <v>4</v>
      </c>
      <c r="B164" s="24" t="s">
        <v>155</v>
      </c>
      <c r="C164" s="25">
        <v>32</v>
      </c>
      <c r="D164" s="25">
        <v>26</v>
      </c>
      <c r="E164" s="25">
        <f>D164</f>
        <v>26</v>
      </c>
      <c r="F164" s="105">
        <f t="shared" si="25"/>
        <v>0</v>
      </c>
      <c r="G164" s="105">
        <f t="shared" si="26"/>
        <v>81.25</v>
      </c>
      <c r="H164" s="25">
        <v>81</v>
      </c>
      <c r="I164" s="25">
        <f>H164</f>
        <v>81</v>
      </c>
      <c r="J164" s="25">
        <v>60712</v>
      </c>
      <c r="K164" s="25">
        <v>45689</v>
      </c>
      <c r="L164" s="25">
        <f>K164</f>
        <v>45689</v>
      </c>
      <c r="M164" s="105">
        <f t="shared" si="27"/>
        <v>0</v>
      </c>
      <c r="N164" s="105">
        <f t="shared" si="28"/>
        <v>75.255303729081561</v>
      </c>
      <c r="O164" s="25">
        <v>2192</v>
      </c>
      <c r="P164" s="25">
        <f>O164</f>
        <v>2192</v>
      </c>
      <c r="Q164" s="105">
        <f t="shared" si="29"/>
        <v>0</v>
      </c>
      <c r="R164" s="32" t="s">
        <v>1</v>
      </c>
      <c r="S164" s="1">
        <v>1</v>
      </c>
    </row>
    <row r="165" spans="1:19" s="7" customFormat="1" ht="14.25" x14ac:dyDescent="0.2">
      <c r="A165" s="23">
        <v>5</v>
      </c>
      <c r="B165" s="24" t="s">
        <v>156</v>
      </c>
      <c r="C165" s="25">
        <v>9</v>
      </c>
      <c r="D165" s="25">
        <v>9</v>
      </c>
      <c r="E165" s="39">
        <v>9</v>
      </c>
      <c r="F165" s="105">
        <f t="shared" si="25"/>
        <v>0</v>
      </c>
      <c r="G165" s="105">
        <f t="shared" si="26"/>
        <v>100</v>
      </c>
      <c r="H165" s="39">
        <v>85</v>
      </c>
      <c r="I165" s="39">
        <v>85</v>
      </c>
      <c r="J165" s="25">
        <v>15648.786335031467</v>
      </c>
      <c r="K165" s="25">
        <v>7213</v>
      </c>
      <c r="L165" s="39">
        <f>'[2]1.RSP Districts '!L165</f>
        <v>7213</v>
      </c>
      <c r="M165" s="105">
        <f t="shared" si="27"/>
        <v>0</v>
      </c>
      <c r="N165" s="105">
        <f t="shared" si="28"/>
        <v>46.093031405591717</v>
      </c>
      <c r="O165" s="25">
        <v>331</v>
      </c>
      <c r="P165" s="39">
        <f>'[2]1.RSP Districts '!P165</f>
        <v>331</v>
      </c>
      <c r="Q165" s="105">
        <f t="shared" si="29"/>
        <v>0</v>
      </c>
      <c r="R165" s="32" t="s">
        <v>5</v>
      </c>
      <c r="S165" s="1">
        <v>1</v>
      </c>
    </row>
    <row r="166" spans="1:19" s="7" customFormat="1" ht="14.25" x14ac:dyDescent="0.2">
      <c r="A166" s="23">
        <v>5</v>
      </c>
      <c r="B166" s="24" t="s">
        <v>157</v>
      </c>
      <c r="C166" s="25">
        <v>9</v>
      </c>
      <c r="D166" s="25">
        <v>9</v>
      </c>
      <c r="E166" s="25">
        <f>D166</f>
        <v>9</v>
      </c>
      <c r="F166" s="105">
        <f t="shared" si="25"/>
        <v>0</v>
      </c>
      <c r="G166" s="105">
        <f t="shared" si="26"/>
        <v>100</v>
      </c>
      <c r="H166" s="25">
        <v>100</v>
      </c>
      <c r="I166" s="25">
        <f>H166</f>
        <v>100</v>
      </c>
      <c r="J166" s="25">
        <v>15648.786335031467</v>
      </c>
      <c r="K166" s="25">
        <v>6722</v>
      </c>
      <c r="L166" s="25">
        <f>K166</f>
        <v>6722</v>
      </c>
      <c r="M166" s="105">
        <f t="shared" si="27"/>
        <v>0</v>
      </c>
      <c r="N166" s="105">
        <f t="shared" si="28"/>
        <v>42.955407889697426</v>
      </c>
      <c r="O166" s="25">
        <v>267</v>
      </c>
      <c r="P166" s="25">
        <f>O166</f>
        <v>267</v>
      </c>
      <c r="Q166" s="105">
        <f t="shared" si="29"/>
        <v>0</v>
      </c>
      <c r="R166" s="32" t="s">
        <v>1</v>
      </c>
      <c r="S166" s="1">
        <v>1</v>
      </c>
    </row>
    <row r="167" spans="1:19" s="7" customFormat="1" ht="14.25" x14ac:dyDescent="0.2">
      <c r="A167" s="23">
        <v>6</v>
      </c>
      <c r="B167" s="24" t="s">
        <v>158</v>
      </c>
      <c r="C167" s="25">
        <v>25</v>
      </c>
      <c r="D167" s="25">
        <v>25</v>
      </c>
      <c r="E167" s="39">
        <v>25</v>
      </c>
      <c r="F167" s="105">
        <f t="shared" si="25"/>
        <v>0</v>
      </c>
      <c r="G167" s="105">
        <f t="shared" si="26"/>
        <v>100</v>
      </c>
      <c r="H167" s="39">
        <v>108</v>
      </c>
      <c r="I167" s="40">
        <v>108</v>
      </c>
      <c r="J167" s="30">
        <v>47319.07894736842</v>
      </c>
      <c r="K167" s="25">
        <v>39564</v>
      </c>
      <c r="L167" s="39">
        <f>'[2]1.RSP Districts '!L167</f>
        <v>40283</v>
      </c>
      <c r="M167" s="105">
        <f t="shared" si="27"/>
        <v>1.8173086644424226</v>
      </c>
      <c r="N167" s="105">
        <f t="shared" si="28"/>
        <v>85.13056656239138</v>
      </c>
      <c r="O167" s="25">
        <v>2032</v>
      </c>
      <c r="P167" s="39">
        <f>'[2]1.RSP Districts '!P167</f>
        <v>2060</v>
      </c>
      <c r="Q167" s="105">
        <f t="shared" si="29"/>
        <v>1.3779527559055118</v>
      </c>
      <c r="R167" s="32" t="s">
        <v>5</v>
      </c>
      <c r="S167" s="1">
        <v>1</v>
      </c>
    </row>
    <row r="168" spans="1:19" s="135" customFormat="1" ht="14.25" x14ac:dyDescent="0.2">
      <c r="A168" s="23">
        <v>6</v>
      </c>
      <c r="B168" s="24" t="s">
        <v>263</v>
      </c>
      <c r="C168" s="25">
        <v>25</v>
      </c>
      <c r="D168" s="25">
        <v>12</v>
      </c>
      <c r="E168" s="25">
        <f>D168</f>
        <v>12</v>
      </c>
      <c r="F168" s="105">
        <f t="shared" si="25"/>
        <v>0</v>
      </c>
      <c r="G168" s="105">
        <f t="shared" si="26"/>
        <v>48</v>
      </c>
      <c r="H168" s="25">
        <v>48</v>
      </c>
      <c r="I168" s="25">
        <f t="shared" ref="I168:I169" si="30">H168</f>
        <v>48</v>
      </c>
      <c r="J168" s="30">
        <v>47319.07894736842</v>
      </c>
      <c r="K168" s="25">
        <v>4523</v>
      </c>
      <c r="L168" s="25">
        <f>K168</f>
        <v>4523</v>
      </c>
      <c r="M168" s="105">
        <f t="shared" si="27"/>
        <v>0</v>
      </c>
      <c r="N168" s="105">
        <f t="shared" si="28"/>
        <v>9.5585123392422666</v>
      </c>
      <c r="O168" s="25">
        <v>260</v>
      </c>
      <c r="P168" s="25">
        <f>O168</f>
        <v>260</v>
      </c>
      <c r="Q168" s="105">
        <f t="shared" si="29"/>
        <v>0</v>
      </c>
      <c r="R168" s="32" t="s">
        <v>1</v>
      </c>
      <c r="S168" s="1">
        <v>1</v>
      </c>
    </row>
    <row r="169" spans="1:19" s="7" customFormat="1" ht="14.25" x14ac:dyDescent="0.2">
      <c r="A169" s="23">
        <v>7</v>
      </c>
      <c r="B169" s="24" t="s">
        <v>159</v>
      </c>
      <c r="C169" s="25">
        <v>18</v>
      </c>
      <c r="D169" s="25">
        <v>18</v>
      </c>
      <c r="E169" s="25">
        <f>D169</f>
        <v>18</v>
      </c>
      <c r="F169" s="105">
        <f t="shared" si="25"/>
        <v>0</v>
      </c>
      <c r="G169" s="105">
        <f t="shared" si="26"/>
        <v>100</v>
      </c>
      <c r="H169" s="25">
        <v>100</v>
      </c>
      <c r="I169" s="25">
        <f t="shared" si="30"/>
        <v>100</v>
      </c>
      <c r="J169" s="25">
        <v>54333</v>
      </c>
      <c r="K169" s="25">
        <v>5541</v>
      </c>
      <c r="L169" s="25">
        <f>K169</f>
        <v>5541</v>
      </c>
      <c r="M169" s="105">
        <f t="shared" si="27"/>
        <v>0</v>
      </c>
      <c r="N169" s="105">
        <f t="shared" si="28"/>
        <v>10.198222074982054</v>
      </c>
      <c r="O169" s="25">
        <v>227</v>
      </c>
      <c r="P169" s="25">
        <f>O169</f>
        <v>227</v>
      </c>
      <c r="Q169" s="105">
        <f t="shared" si="29"/>
        <v>0</v>
      </c>
      <c r="R169" s="32" t="s">
        <v>1</v>
      </c>
      <c r="S169" s="1">
        <v>1</v>
      </c>
    </row>
    <row r="170" spans="1:19" s="7" customFormat="1" ht="14.25" x14ac:dyDescent="0.2">
      <c r="A170" s="23">
        <v>8</v>
      </c>
      <c r="B170" s="24" t="s">
        <v>160</v>
      </c>
      <c r="C170" s="25">
        <v>12</v>
      </c>
      <c r="D170" s="25">
        <v>13</v>
      </c>
      <c r="E170" s="39">
        <v>13</v>
      </c>
      <c r="F170" s="105">
        <f t="shared" si="25"/>
        <v>0</v>
      </c>
      <c r="G170" s="105">
        <f t="shared" si="26"/>
        <v>108.33333333333334</v>
      </c>
      <c r="H170" s="39">
        <v>25</v>
      </c>
      <c r="I170" s="40">
        <v>25</v>
      </c>
      <c r="J170" s="30">
        <v>26849.31506849315</v>
      </c>
      <c r="K170" s="25">
        <v>13576</v>
      </c>
      <c r="L170" s="39">
        <f>'[2]1.RSP Districts '!L170</f>
        <v>13643</v>
      </c>
      <c r="M170" s="105">
        <f t="shared" si="27"/>
        <v>0.49351797289334121</v>
      </c>
      <c r="N170" s="105">
        <f t="shared" si="28"/>
        <v>50.813214285714288</v>
      </c>
      <c r="O170" s="25">
        <v>728</v>
      </c>
      <c r="P170" s="39">
        <f>'[2]1.RSP Districts '!P170</f>
        <v>735</v>
      </c>
      <c r="Q170" s="105">
        <f t="shared" si="29"/>
        <v>0.96153846153846145</v>
      </c>
      <c r="R170" s="32" t="s">
        <v>5</v>
      </c>
      <c r="S170" s="1">
        <v>1</v>
      </c>
    </row>
    <row r="171" spans="1:19" s="7" customFormat="1" ht="14.25" x14ac:dyDescent="0.2">
      <c r="A171" s="23">
        <v>9</v>
      </c>
      <c r="B171" s="24" t="s">
        <v>161</v>
      </c>
      <c r="C171" s="25">
        <v>22</v>
      </c>
      <c r="D171" s="25">
        <v>15</v>
      </c>
      <c r="E171" s="25">
        <f>D171</f>
        <v>15</v>
      </c>
      <c r="F171" s="105">
        <f t="shared" si="25"/>
        <v>0</v>
      </c>
      <c r="G171" s="105">
        <f t="shared" si="26"/>
        <v>68.181818181818187</v>
      </c>
      <c r="H171" s="25">
        <v>68</v>
      </c>
      <c r="I171" s="25">
        <f>H171</f>
        <v>68</v>
      </c>
      <c r="J171" s="25">
        <v>40208</v>
      </c>
      <c r="K171" s="25">
        <v>8596</v>
      </c>
      <c r="L171" s="25">
        <f>K171</f>
        <v>8596</v>
      </c>
      <c r="M171" s="105">
        <f t="shared" si="27"/>
        <v>0</v>
      </c>
      <c r="N171" s="105">
        <f t="shared" si="28"/>
        <v>21.378830083565461</v>
      </c>
      <c r="O171" s="25">
        <v>379</v>
      </c>
      <c r="P171" s="25">
        <f>O171</f>
        <v>379</v>
      </c>
      <c r="Q171" s="105">
        <f t="shared" si="29"/>
        <v>0</v>
      </c>
      <c r="R171" s="32" t="s">
        <v>1</v>
      </c>
      <c r="S171" s="1">
        <v>1</v>
      </c>
    </row>
    <row r="172" spans="1:19" s="7" customFormat="1" thickBot="1" x14ac:dyDescent="0.25">
      <c r="A172" s="37">
        <v>10</v>
      </c>
      <c r="B172" s="38" t="s">
        <v>176</v>
      </c>
      <c r="C172" s="39">
        <v>8</v>
      </c>
      <c r="D172" s="39">
        <v>8</v>
      </c>
      <c r="E172" s="39">
        <v>8</v>
      </c>
      <c r="F172" s="139">
        <f t="shared" si="25"/>
        <v>0</v>
      </c>
      <c r="G172" s="139">
        <f t="shared" si="26"/>
        <v>100</v>
      </c>
      <c r="H172" s="39">
        <v>88</v>
      </c>
      <c r="I172" s="40">
        <v>88</v>
      </c>
      <c r="J172" s="40">
        <v>18651</v>
      </c>
      <c r="K172" s="25">
        <v>11044</v>
      </c>
      <c r="L172" s="39">
        <f>'[2]1.RSP Districts '!L172</f>
        <v>11110</v>
      </c>
      <c r="M172" s="139">
        <f t="shared" si="27"/>
        <v>0.59760956175298807</v>
      </c>
      <c r="N172" s="139">
        <f t="shared" si="28"/>
        <v>59.567851589727098</v>
      </c>
      <c r="O172" s="25">
        <v>638</v>
      </c>
      <c r="P172" s="39">
        <f>'[2]1.RSP Districts '!P172</f>
        <v>644</v>
      </c>
      <c r="Q172" s="139">
        <f t="shared" si="29"/>
        <v>0.94043887147335425</v>
      </c>
      <c r="R172" s="42" t="s">
        <v>5</v>
      </c>
      <c r="S172" s="1">
        <v>1</v>
      </c>
    </row>
    <row r="173" spans="1:19" s="5" customFormat="1" ht="15.75" thickBot="1" x14ac:dyDescent="0.3">
      <c r="A173" s="155">
        <f>COUNTIF(R157:R172,"*")-6</f>
        <v>10</v>
      </c>
      <c r="B173" s="154" t="s">
        <v>39</v>
      </c>
      <c r="C173" s="57">
        <f>(C157+C159+C161+C163+C165+C167+C169+C170+C171+C172)</f>
        <v>196</v>
      </c>
      <c r="D173" s="57">
        <f>(D157+D160+D162+D164+D166+D167+D169+D170+D171+D172)</f>
        <v>179</v>
      </c>
      <c r="E173" s="57">
        <f>(E157+E160+E162+E164+E166+E167+E169+E170+E171+E172)</f>
        <v>179</v>
      </c>
      <c r="F173" s="156">
        <f t="shared" si="25"/>
        <v>0</v>
      </c>
      <c r="G173" s="156">
        <f t="shared" si="26"/>
        <v>91.326530612244895</v>
      </c>
      <c r="H173" s="156">
        <f>SUM(H157:H172)</f>
        <v>1773</v>
      </c>
      <c r="I173" s="156">
        <f>SUM(I157:I172)</f>
        <v>1773</v>
      </c>
      <c r="J173" s="57">
        <f>(J157+J159+J161+J163+J165+J167+J169+J170+J171+J172)</f>
        <v>398969.65165781637</v>
      </c>
      <c r="K173" s="57">
        <f>SUM(K157:K172)</f>
        <v>271342</v>
      </c>
      <c r="L173" s="57">
        <f>SUM(L157:L172)</f>
        <v>272338</v>
      </c>
      <c r="M173" s="156">
        <f t="shared" si="27"/>
        <v>0.36706444265907967</v>
      </c>
      <c r="N173" s="156">
        <f t="shared" si="28"/>
        <v>68.260329794100642</v>
      </c>
      <c r="O173" s="57">
        <f>SUM(O157:O172)</f>
        <v>13618</v>
      </c>
      <c r="P173" s="57">
        <f>SUM(P157:P172)</f>
        <v>13666</v>
      </c>
      <c r="Q173" s="156">
        <f t="shared" si="29"/>
        <v>0.3524746658833896</v>
      </c>
      <c r="R173" s="158"/>
      <c r="S173" s="1">
        <v>1</v>
      </c>
    </row>
    <row r="174" spans="1:19" ht="13.5" customHeight="1" thickBot="1" x14ac:dyDescent="0.25">
      <c r="A174" s="35"/>
      <c r="B174" s="36"/>
      <c r="C174" s="28"/>
      <c r="D174" s="28"/>
      <c r="E174" s="28"/>
      <c r="F174" s="106"/>
      <c r="G174" s="106"/>
      <c r="H174" s="106"/>
      <c r="I174" s="106"/>
      <c r="J174" s="28"/>
      <c r="K174" s="28"/>
      <c r="L174" s="28"/>
      <c r="M174" s="28"/>
      <c r="N174" s="28"/>
      <c r="O174" s="28"/>
      <c r="P174" s="28"/>
      <c r="Q174" s="28"/>
      <c r="R174" s="15"/>
      <c r="S174" s="1">
        <v>1</v>
      </c>
    </row>
    <row r="175" spans="1:19" s="6" customFormat="1" ht="14.25" x14ac:dyDescent="0.2">
      <c r="A175" s="18" t="s">
        <v>162</v>
      </c>
      <c r="B175" s="19"/>
      <c r="C175" s="20"/>
      <c r="D175" s="29"/>
      <c r="E175" s="29"/>
      <c r="F175" s="107"/>
      <c r="G175" s="107"/>
      <c r="H175" s="107"/>
      <c r="I175" s="107"/>
      <c r="J175" s="20"/>
      <c r="K175" s="29"/>
      <c r="L175" s="29"/>
      <c r="M175" s="29"/>
      <c r="N175" s="29"/>
      <c r="O175" s="29"/>
      <c r="P175" s="29"/>
      <c r="Q175" s="29"/>
      <c r="R175" s="22"/>
      <c r="S175" s="1">
        <v>1</v>
      </c>
    </row>
    <row r="176" spans="1:19" s="7" customFormat="1" ht="14.25" x14ac:dyDescent="0.2">
      <c r="A176" s="23">
        <v>1</v>
      </c>
      <c r="B176" s="24" t="s">
        <v>163</v>
      </c>
      <c r="C176" s="25">
        <v>8</v>
      </c>
      <c r="D176" s="25">
        <v>8</v>
      </c>
      <c r="E176" s="25">
        <f>'[5]1.RSP Districts '!E174</f>
        <v>8</v>
      </c>
      <c r="F176" s="105">
        <f t="shared" ref="F176:F183" si="31">(E176-D176)/D176%</f>
        <v>0</v>
      </c>
      <c r="G176" s="105">
        <f t="shared" ref="G176:G183" si="32">E176/C176%</f>
        <v>100</v>
      </c>
      <c r="H176" s="140">
        <v>44</v>
      </c>
      <c r="I176" s="25">
        <f>'[5]1.RSP Districts '!I174</f>
        <v>44</v>
      </c>
      <c r="J176" s="30">
        <v>10999.903096902348</v>
      </c>
      <c r="K176" s="25">
        <v>6444</v>
      </c>
      <c r="L176" s="25">
        <f>'[5]1.RSP Districts '!L174</f>
        <v>6444</v>
      </c>
      <c r="M176" s="105">
        <f t="shared" ref="M176:M183" si="33">(L176-K176)/K176%</f>
        <v>0</v>
      </c>
      <c r="N176" s="105">
        <f t="shared" ref="N176:N183" si="34">L176/J176%</f>
        <v>58.582334255423369</v>
      </c>
      <c r="O176" s="25">
        <v>333</v>
      </c>
      <c r="P176" s="25">
        <f>'[5]1.RSP Districts '!P174</f>
        <v>333</v>
      </c>
      <c r="Q176" s="105">
        <f t="shared" ref="Q176:Q183" si="35">(P176-O176)/O176%</f>
        <v>0</v>
      </c>
      <c r="R176" s="32" t="s">
        <v>2</v>
      </c>
      <c r="S176" s="1">
        <v>1</v>
      </c>
    </row>
    <row r="177" spans="1:19" s="7" customFormat="1" ht="14.25" x14ac:dyDescent="0.2">
      <c r="A177" s="23">
        <v>2</v>
      </c>
      <c r="B177" s="24" t="s">
        <v>205</v>
      </c>
      <c r="C177" s="25">
        <v>9</v>
      </c>
      <c r="D177" s="25"/>
      <c r="E177" s="25"/>
      <c r="F177" s="105">
        <v>0</v>
      </c>
      <c r="G177" s="105">
        <f t="shared" si="32"/>
        <v>0</v>
      </c>
      <c r="H177" s="140"/>
      <c r="I177" s="140"/>
      <c r="J177" s="30">
        <v>0</v>
      </c>
      <c r="K177" s="25">
        <v>0</v>
      </c>
      <c r="L177" s="25"/>
      <c r="M177" s="105">
        <v>0</v>
      </c>
      <c r="N177" s="105">
        <v>0</v>
      </c>
      <c r="O177" s="25"/>
      <c r="P177" s="25"/>
      <c r="Q177" s="105">
        <v>0</v>
      </c>
      <c r="R177" s="81">
        <v>0</v>
      </c>
      <c r="S177" s="1">
        <v>1</v>
      </c>
    </row>
    <row r="178" spans="1:19" s="7" customFormat="1" ht="14.25" x14ac:dyDescent="0.2">
      <c r="A178" s="23">
        <v>3</v>
      </c>
      <c r="B178" s="24" t="s">
        <v>164</v>
      </c>
      <c r="C178" s="25">
        <v>14</v>
      </c>
      <c r="D178" s="25">
        <v>14</v>
      </c>
      <c r="E178" s="25">
        <f>'[5]1.RSP Districts '!E176</f>
        <v>14</v>
      </c>
      <c r="F178" s="105">
        <f t="shared" si="31"/>
        <v>0</v>
      </c>
      <c r="G178" s="105">
        <f t="shared" si="32"/>
        <v>99.999999999999986</v>
      </c>
      <c r="H178" s="140">
        <v>56</v>
      </c>
      <c r="I178" s="25">
        <f>'[5]1.RSP Districts '!I176</f>
        <v>56</v>
      </c>
      <c r="J178" s="30">
        <v>18452.493081471035</v>
      </c>
      <c r="K178" s="25">
        <v>10401</v>
      </c>
      <c r="L178" s="25">
        <f>'[5]1.RSP Districts '!L176</f>
        <v>10401</v>
      </c>
      <c r="M178" s="105">
        <f t="shared" si="33"/>
        <v>0</v>
      </c>
      <c r="N178" s="105">
        <f t="shared" si="34"/>
        <v>56.366367157422779</v>
      </c>
      <c r="O178" s="25">
        <v>469</v>
      </c>
      <c r="P178" s="25">
        <f>'[5]1.RSP Districts '!P176</f>
        <v>469</v>
      </c>
      <c r="Q178" s="105">
        <f t="shared" si="35"/>
        <v>0</v>
      </c>
      <c r="R178" s="32" t="s">
        <v>2</v>
      </c>
      <c r="S178" s="1">
        <v>1</v>
      </c>
    </row>
    <row r="179" spans="1:19" s="7" customFormat="1" ht="14.25" x14ac:dyDescent="0.2">
      <c r="A179" s="23">
        <v>4</v>
      </c>
      <c r="B179" s="24" t="s">
        <v>165</v>
      </c>
      <c r="C179" s="25">
        <v>16</v>
      </c>
      <c r="D179" s="25">
        <v>16</v>
      </c>
      <c r="E179" s="25">
        <f>'[5]1.RSP Districts '!E177</f>
        <v>16</v>
      </c>
      <c r="F179" s="105">
        <f t="shared" si="31"/>
        <v>0</v>
      </c>
      <c r="G179" s="105">
        <f t="shared" si="32"/>
        <v>100</v>
      </c>
      <c r="H179" s="140">
        <v>80</v>
      </c>
      <c r="I179" s="25">
        <f>'[5]1.RSP Districts '!I177</f>
        <v>80</v>
      </c>
      <c r="J179" s="30">
        <v>13563.115170309828</v>
      </c>
      <c r="K179" s="25">
        <v>12420</v>
      </c>
      <c r="L179" s="25">
        <f>'[5]1.RSP Districts '!L177</f>
        <v>12420</v>
      </c>
      <c r="M179" s="105">
        <f t="shared" si="33"/>
        <v>0</v>
      </c>
      <c r="N179" s="105">
        <f t="shared" si="34"/>
        <v>91.571883332435675</v>
      </c>
      <c r="O179" s="25">
        <v>548</v>
      </c>
      <c r="P179" s="25">
        <f>'[5]1.RSP Districts '!P177</f>
        <v>548</v>
      </c>
      <c r="Q179" s="105">
        <f t="shared" si="35"/>
        <v>0</v>
      </c>
      <c r="R179" s="32" t="s">
        <v>2</v>
      </c>
      <c r="S179" s="1">
        <v>1</v>
      </c>
    </row>
    <row r="180" spans="1:19" s="7" customFormat="1" ht="14.25" x14ac:dyDescent="0.2">
      <c r="A180" s="23">
        <v>5</v>
      </c>
      <c r="B180" s="24" t="s">
        <v>166</v>
      </c>
      <c r="C180" s="25">
        <v>10</v>
      </c>
      <c r="D180" s="25">
        <v>10</v>
      </c>
      <c r="E180" s="25">
        <f>'[5]1.RSP Districts '!E178</f>
        <v>10</v>
      </c>
      <c r="F180" s="105">
        <f t="shared" si="31"/>
        <v>0</v>
      </c>
      <c r="G180" s="105">
        <f t="shared" si="32"/>
        <v>100</v>
      </c>
      <c r="H180" s="140">
        <v>56</v>
      </c>
      <c r="I180" s="25">
        <f>'[5]1.RSP Districts '!I178</f>
        <v>56</v>
      </c>
      <c r="J180" s="30">
        <v>17721</v>
      </c>
      <c r="K180" s="25">
        <v>10924</v>
      </c>
      <c r="L180" s="25">
        <f>'[5]1.RSP Districts '!L178</f>
        <v>10924</v>
      </c>
      <c r="M180" s="105">
        <f t="shared" si="33"/>
        <v>0</v>
      </c>
      <c r="N180" s="105">
        <f t="shared" si="34"/>
        <v>61.644376728175608</v>
      </c>
      <c r="O180" s="25">
        <v>434</v>
      </c>
      <c r="P180" s="25">
        <f>'[5]1.RSP Districts '!P178</f>
        <v>434</v>
      </c>
      <c r="Q180" s="105">
        <f t="shared" si="35"/>
        <v>0</v>
      </c>
      <c r="R180" s="32" t="s">
        <v>2</v>
      </c>
      <c r="S180" s="1">
        <v>1</v>
      </c>
    </row>
    <row r="181" spans="1:19" s="7" customFormat="1" ht="14.25" x14ac:dyDescent="0.2">
      <c r="A181" s="23">
        <v>6</v>
      </c>
      <c r="B181" s="24" t="s">
        <v>167</v>
      </c>
      <c r="C181" s="25">
        <v>15</v>
      </c>
      <c r="D181" s="25">
        <v>15</v>
      </c>
      <c r="E181" s="25">
        <f>'[5]1.RSP Districts '!E179</f>
        <v>15</v>
      </c>
      <c r="F181" s="105">
        <f t="shared" si="31"/>
        <v>0</v>
      </c>
      <c r="G181" s="105">
        <f t="shared" si="32"/>
        <v>100</v>
      </c>
      <c r="H181" s="140">
        <v>83</v>
      </c>
      <c r="I181" s="25">
        <f>'[5]1.RSP Districts '!I179</f>
        <v>83</v>
      </c>
      <c r="J181" s="30">
        <v>12779</v>
      </c>
      <c r="K181" s="25">
        <v>11965</v>
      </c>
      <c r="L181" s="25">
        <f>'[5]1.RSP Districts '!L179</f>
        <v>11965</v>
      </c>
      <c r="M181" s="105">
        <f t="shared" si="33"/>
        <v>0</v>
      </c>
      <c r="N181" s="105">
        <f t="shared" si="34"/>
        <v>93.630174505047336</v>
      </c>
      <c r="O181" s="25">
        <v>507</v>
      </c>
      <c r="P181" s="25">
        <f>'[5]1.RSP Districts '!P179</f>
        <v>507</v>
      </c>
      <c r="Q181" s="105">
        <f t="shared" si="35"/>
        <v>0</v>
      </c>
      <c r="R181" s="32" t="s">
        <v>2</v>
      </c>
      <c r="S181" s="1">
        <v>1</v>
      </c>
    </row>
    <row r="182" spans="1:19" s="7" customFormat="1" thickBot="1" x14ac:dyDescent="0.25">
      <c r="A182" s="37">
        <v>7</v>
      </c>
      <c r="B182" s="38" t="s">
        <v>168</v>
      </c>
      <c r="C182" s="39">
        <v>31</v>
      </c>
      <c r="D182" s="39">
        <v>31</v>
      </c>
      <c r="E182" s="25">
        <f>'[5]1.RSP Districts '!E180</f>
        <v>31</v>
      </c>
      <c r="F182" s="139">
        <f t="shared" si="31"/>
        <v>0</v>
      </c>
      <c r="G182" s="139">
        <f t="shared" si="32"/>
        <v>100</v>
      </c>
      <c r="H182" s="153">
        <v>167</v>
      </c>
      <c r="I182" s="25">
        <f>'[5]1.RSP Districts '!I180</f>
        <v>167</v>
      </c>
      <c r="J182" s="40">
        <v>35134.322614801174</v>
      </c>
      <c r="K182" s="39">
        <v>23627</v>
      </c>
      <c r="L182" s="25">
        <f>'[5]1.RSP Districts '!L180</f>
        <v>23627</v>
      </c>
      <c r="M182" s="139">
        <f t="shared" si="33"/>
        <v>0</v>
      </c>
      <c r="N182" s="139">
        <f t="shared" si="34"/>
        <v>67.247632063487004</v>
      </c>
      <c r="O182" s="39">
        <v>1093</v>
      </c>
      <c r="P182" s="25">
        <f>'[5]1.RSP Districts '!P180</f>
        <v>1093</v>
      </c>
      <c r="Q182" s="139">
        <f t="shared" si="35"/>
        <v>0</v>
      </c>
      <c r="R182" s="42" t="s">
        <v>2</v>
      </c>
      <c r="S182" s="1">
        <v>1</v>
      </c>
    </row>
    <row r="183" spans="1:19" s="5" customFormat="1" ht="15.75" thickBot="1" x14ac:dyDescent="0.3">
      <c r="A183" s="155">
        <f>COUNTIF(R176:R182,"*")</f>
        <v>6</v>
      </c>
      <c r="B183" s="154" t="s">
        <v>39</v>
      </c>
      <c r="C183" s="57">
        <f>SUM(C176:C182)</f>
        <v>103</v>
      </c>
      <c r="D183" s="57">
        <f>SUM(D176:D182)</f>
        <v>94</v>
      </c>
      <c r="E183" s="57">
        <f>SUM(E176:E182)</f>
        <v>94</v>
      </c>
      <c r="F183" s="156">
        <f t="shared" si="31"/>
        <v>0</v>
      </c>
      <c r="G183" s="156">
        <f t="shared" si="32"/>
        <v>91.262135922330089</v>
      </c>
      <c r="H183" s="156">
        <f>SUM(H176:H182)</f>
        <v>486</v>
      </c>
      <c r="I183" s="156">
        <f>SUM(I176:I182)</f>
        <v>486</v>
      </c>
      <c r="J183" s="57">
        <f>SUM(J176:J182)</f>
        <v>108649.83396348439</v>
      </c>
      <c r="K183" s="57">
        <f>SUM(K176:K182)</f>
        <v>75781</v>
      </c>
      <c r="L183" s="57">
        <f>SUM(L176:L182)</f>
        <v>75781</v>
      </c>
      <c r="M183" s="156">
        <f t="shared" si="33"/>
        <v>0</v>
      </c>
      <c r="N183" s="156">
        <f t="shared" si="34"/>
        <v>69.747920669136846</v>
      </c>
      <c r="O183" s="57">
        <f>SUM(O176:O182)</f>
        <v>3384</v>
      </c>
      <c r="P183" s="57">
        <f>SUM(P176:P182)</f>
        <v>3384</v>
      </c>
      <c r="Q183" s="156">
        <f t="shared" si="35"/>
        <v>0</v>
      </c>
      <c r="R183" s="158"/>
      <c r="S183" s="1">
        <v>1</v>
      </c>
    </row>
    <row r="184" spans="1:19" s="5" customFormat="1" ht="10.5" customHeight="1" thickBot="1" x14ac:dyDescent="0.3">
      <c r="A184" s="43"/>
      <c r="B184" s="44"/>
      <c r="C184" s="45"/>
      <c r="D184" s="28"/>
      <c r="E184" s="28"/>
      <c r="F184" s="152"/>
      <c r="G184" s="108"/>
      <c r="H184" s="108"/>
      <c r="I184" s="108"/>
      <c r="J184" s="45"/>
      <c r="K184" s="46"/>
      <c r="L184" s="46"/>
      <c r="M184" s="46"/>
      <c r="N184" s="46"/>
      <c r="O184" s="46"/>
      <c r="P184" s="46"/>
      <c r="Q184" s="46"/>
      <c r="R184" s="47"/>
      <c r="S184" s="1">
        <v>1</v>
      </c>
    </row>
    <row r="185" spans="1:19" s="6" customFormat="1" ht="14.25" x14ac:dyDescent="0.2">
      <c r="A185" s="18" t="s">
        <v>226</v>
      </c>
      <c r="B185" s="19"/>
      <c r="C185" s="20"/>
      <c r="D185" s="29"/>
      <c r="E185" s="29"/>
      <c r="F185" s="107"/>
      <c r="G185" s="107"/>
      <c r="H185" s="107"/>
      <c r="I185" s="107"/>
      <c r="J185" s="20"/>
      <c r="K185" s="29"/>
      <c r="L185" s="29"/>
      <c r="M185" s="29"/>
      <c r="N185" s="29"/>
      <c r="O185" s="29"/>
      <c r="P185" s="29"/>
      <c r="Q185" s="29"/>
      <c r="R185" s="22"/>
      <c r="S185" s="1">
        <v>1</v>
      </c>
    </row>
    <row r="186" spans="1:19" s="7" customFormat="1" ht="14.25" x14ac:dyDescent="0.2">
      <c r="A186" s="94">
        <v>1</v>
      </c>
      <c r="B186" s="24" t="s">
        <v>204</v>
      </c>
      <c r="C186" s="58">
        <v>37</v>
      </c>
      <c r="D186" s="58"/>
      <c r="E186" s="25">
        <f>'[4]1.RSP Districts '!E186</f>
        <v>0</v>
      </c>
      <c r="F186" s="105">
        <v>0</v>
      </c>
      <c r="G186" s="105">
        <f t="shared" ref="G186:G199" si="36">E186/C186%</f>
        <v>0</v>
      </c>
      <c r="H186" s="105">
        <v>0</v>
      </c>
      <c r="I186" s="25">
        <f>'[4]1.RSP Districts '!I186</f>
        <v>0</v>
      </c>
      <c r="J186" s="58">
        <v>65409.560439560439</v>
      </c>
      <c r="K186" s="25">
        <v>0</v>
      </c>
      <c r="L186" s="25">
        <f>'[4]1.RSP Districts '!L186</f>
        <v>254</v>
      </c>
      <c r="M186" s="105">
        <v>0</v>
      </c>
      <c r="N186" s="105">
        <v>0</v>
      </c>
      <c r="O186" s="25"/>
      <c r="P186" s="25">
        <f>'[4]1.RSP Districts '!P186</f>
        <v>10</v>
      </c>
      <c r="Q186" s="105">
        <v>0</v>
      </c>
      <c r="R186" s="32" t="s">
        <v>9</v>
      </c>
      <c r="S186" s="1">
        <v>1</v>
      </c>
    </row>
    <row r="187" spans="1:19" s="7" customFormat="1" ht="14.25" x14ac:dyDescent="0.2">
      <c r="A187" s="94">
        <v>2</v>
      </c>
      <c r="B187" s="24" t="s">
        <v>194</v>
      </c>
      <c r="C187" s="58">
        <v>28</v>
      </c>
      <c r="D187" s="58"/>
      <c r="E187" s="58"/>
      <c r="F187" s="105">
        <v>0</v>
      </c>
      <c r="G187" s="105">
        <f t="shared" si="36"/>
        <v>0</v>
      </c>
      <c r="H187" s="105">
        <v>0</v>
      </c>
      <c r="I187" s="105"/>
      <c r="J187" s="58">
        <v>55225.252525252523</v>
      </c>
      <c r="K187" s="25">
        <v>0</v>
      </c>
      <c r="L187" s="58"/>
      <c r="M187" s="105">
        <v>0</v>
      </c>
      <c r="N187" s="105">
        <v>0</v>
      </c>
      <c r="O187" s="25"/>
      <c r="P187" s="101"/>
      <c r="Q187" s="105">
        <v>0</v>
      </c>
      <c r="R187" s="95">
        <v>0</v>
      </c>
      <c r="S187" s="1">
        <v>1</v>
      </c>
    </row>
    <row r="188" spans="1:19" s="7" customFormat="1" ht="14.25" x14ac:dyDescent="0.2">
      <c r="A188" s="94">
        <v>3</v>
      </c>
      <c r="B188" s="24" t="s">
        <v>169</v>
      </c>
      <c r="C188" s="25">
        <v>23</v>
      </c>
      <c r="D188" s="25">
        <v>3</v>
      </c>
      <c r="E188" s="25">
        <f>'[4]1.RSP Districts '!E188</f>
        <v>3</v>
      </c>
      <c r="F188" s="105">
        <f>(E188-D188)/D188%</f>
        <v>0</v>
      </c>
      <c r="G188" s="105">
        <f t="shared" si="36"/>
        <v>13.043478260869565</v>
      </c>
      <c r="H188" s="25">
        <v>0</v>
      </c>
      <c r="I188" s="25">
        <f>'[4]1.RSP Districts '!I188</f>
        <v>0</v>
      </c>
      <c r="J188" s="25">
        <v>42293.396226415098</v>
      </c>
      <c r="K188" s="25">
        <v>4668</v>
      </c>
      <c r="L188" s="25">
        <f>'[4]1.RSP Districts '!L188</f>
        <v>4668</v>
      </c>
      <c r="M188" s="105">
        <f>(L188-K188)/K188%</f>
        <v>0</v>
      </c>
      <c r="N188" s="105">
        <f>L188/J188%</f>
        <v>11.037184091365349</v>
      </c>
      <c r="O188" s="25">
        <v>143</v>
      </c>
      <c r="P188" s="25">
        <f>'[4]1.RSP Districts '!P188</f>
        <v>143</v>
      </c>
      <c r="Q188" s="105">
        <f>(P188-O188)/O188%</f>
        <v>0</v>
      </c>
      <c r="R188" s="32" t="s">
        <v>9</v>
      </c>
      <c r="S188" s="1">
        <v>1</v>
      </c>
    </row>
    <row r="189" spans="1:19" s="7" customFormat="1" ht="14.25" x14ac:dyDescent="0.2">
      <c r="A189" s="94">
        <v>4</v>
      </c>
      <c r="B189" s="24" t="s">
        <v>195</v>
      </c>
      <c r="C189" s="25">
        <v>21</v>
      </c>
      <c r="D189" s="58"/>
      <c r="E189" s="25">
        <f>'[4]1.RSP Districts '!E189</f>
        <v>0</v>
      </c>
      <c r="F189" s="105">
        <v>0</v>
      </c>
      <c r="G189" s="105">
        <f t="shared" si="36"/>
        <v>0</v>
      </c>
      <c r="H189" s="105">
        <v>0</v>
      </c>
      <c r="I189" s="25">
        <f>'[4]1.RSP Districts '!I189</f>
        <v>0</v>
      </c>
      <c r="J189" s="58">
        <v>37161.444444444445</v>
      </c>
      <c r="K189" s="25">
        <v>0</v>
      </c>
      <c r="L189" s="25">
        <f>'[4]1.RSP Districts '!L189</f>
        <v>539</v>
      </c>
      <c r="M189" s="105">
        <v>0</v>
      </c>
      <c r="N189" s="105">
        <v>0</v>
      </c>
      <c r="O189" s="25"/>
      <c r="P189" s="25">
        <f>'[4]1.RSP Districts '!P189</f>
        <v>20</v>
      </c>
      <c r="Q189" s="105">
        <v>0</v>
      </c>
      <c r="R189" s="32" t="s">
        <v>9</v>
      </c>
      <c r="S189" s="1">
        <v>1</v>
      </c>
    </row>
    <row r="190" spans="1:19" s="7" customFormat="1" ht="14.25" x14ac:dyDescent="0.2">
      <c r="A190" s="94">
        <v>5</v>
      </c>
      <c r="B190" s="24" t="s">
        <v>196</v>
      </c>
      <c r="C190" s="25">
        <v>22</v>
      </c>
      <c r="D190" s="58"/>
      <c r="E190" s="58"/>
      <c r="F190" s="105">
        <v>0</v>
      </c>
      <c r="G190" s="105">
        <f t="shared" si="36"/>
        <v>0</v>
      </c>
      <c r="H190" s="105">
        <v>0</v>
      </c>
      <c r="I190" s="105"/>
      <c r="J190" s="58">
        <v>39697.362637362639</v>
      </c>
      <c r="K190" s="25">
        <v>0</v>
      </c>
      <c r="L190" s="58"/>
      <c r="M190" s="105">
        <v>0</v>
      </c>
      <c r="N190" s="105">
        <v>0</v>
      </c>
      <c r="O190" s="25"/>
      <c r="P190" s="25"/>
      <c r="Q190" s="105">
        <v>0</v>
      </c>
      <c r="R190" s="95">
        <v>0</v>
      </c>
      <c r="S190" s="1">
        <v>1</v>
      </c>
    </row>
    <row r="191" spans="1:19" s="7" customFormat="1" ht="14.25" x14ac:dyDescent="0.2">
      <c r="A191" s="94">
        <v>6</v>
      </c>
      <c r="B191" s="24" t="s">
        <v>197</v>
      </c>
      <c r="C191" s="25">
        <v>15</v>
      </c>
      <c r="D191" s="58"/>
      <c r="E191" s="58"/>
      <c r="F191" s="105">
        <v>0</v>
      </c>
      <c r="G191" s="105">
        <v>0</v>
      </c>
      <c r="H191" s="105">
        <v>0</v>
      </c>
      <c r="I191" s="105"/>
      <c r="J191" s="58">
        <v>25618.295454545452</v>
      </c>
      <c r="K191" s="25">
        <v>0</v>
      </c>
      <c r="L191" s="58"/>
      <c r="M191" s="105">
        <v>0</v>
      </c>
      <c r="N191" s="105">
        <v>0</v>
      </c>
      <c r="O191" s="25"/>
      <c r="P191" s="25"/>
      <c r="Q191" s="105">
        <v>0</v>
      </c>
      <c r="R191" s="95">
        <v>0</v>
      </c>
      <c r="S191" s="1">
        <v>1</v>
      </c>
    </row>
    <row r="192" spans="1:19" s="7" customFormat="1" ht="14.25" x14ac:dyDescent="0.2">
      <c r="A192" s="94">
        <v>7</v>
      </c>
      <c r="B192" s="24" t="s">
        <v>198</v>
      </c>
      <c r="C192" s="25">
        <v>29</v>
      </c>
      <c r="D192" s="58"/>
      <c r="E192" s="25">
        <f>'[4]1.RSP Districts '!E192</f>
        <v>0</v>
      </c>
      <c r="F192" s="105">
        <v>0</v>
      </c>
      <c r="G192" s="105">
        <v>0</v>
      </c>
      <c r="H192" s="105">
        <v>0</v>
      </c>
      <c r="I192" s="25">
        <f>'[4]1.RSP Districts '!I192</f>
        <v>0</v>
      </c>
      <c r="J192" s="58">
        <v>50569.529411764706</v>
      </c>
      <c r="K192" s="25">
        <v>0</v>
      </c>
      <c r="L192" s="25">
        <f>'[4]1.RSP Districts '!L192</f>
        <v>248</v>
      </c>
      <c r="M192" s="105">
        <v>0</v>
      </c>
      <c r="N192" s="105">
        <v>0</v>
      </c>
      <c r="O192" s="25"/>
      <c r="P192" s="25">
        <f>'[4]1.RSP Districts '!P192</f>
        <v>13</v>
      </c>
      <c r="Q192" s="105">
        <v>0</v>
      </c>
      <c r="R192" s="32" t="s">
        <v>9</v>
      </c>
      <c r="S192" s="1">
        <v>1</v>
      </c>
    </row>
    <row r="193" spans="1:20" s="7" customFormat="1" ht="14.25" x14ac:dyDescent="0.2">
      <c r="A193" s="94">
        <v>8</v>
      </c>
      <c r="B193" s="24" t="s">
        <v>199</v>
      </c>
      <c r="C193" s="25">
        <v>1</v>
      </c>
      <c r="D193" s="58"/>
      <c r="E193" s="58"/>
      <c r="F193" s="105">
        <v>0</v>
      </c>
      <c r="G193" s="105">
        <v>0</v>
      </c>
      <c r="H193" s="105">
        <v>0</v>
      </c>
      <c r="I193" s="105"/>
      <c r="J193" s="58">
        <v>931.6</v>
      </c>
      <c r="K193" s="25">
        <v>0</v>
      </c>
      <c r="L193" s="58"/>
      <c r="M193" s="105">
        <v>0</v>
      </c>
      <c r="N193" s="105">
        <v>0</v>
      </c>
      <c r="O193" s="25"/>
      <c r="P193" s="25"/>
      <c r="Q193" s="105">
        <v>0</v>
      </c>
      <c r="R193" s="95">
        <v>0</v>
      </c>
      <c r="S193" s="1">
        <v>1</v>
      </c>
    </row>
    <row r="194" spans="1:20" s="7" customFormat="1" ht="14.25" x14ac:dyDescent="0.2">
      <c r="A194" s="94">
        <v>9</v>
      </c>
      <c r="B194" s="24" t="s">
        <v>200</v>
      </c>
      <c r="C194" s="25">
        <v>1</v>
      </c>
      <c r="D194" s="58"/>
      <c r="E194" s="58"/>
      <c r="F194" s="105">
        <v>0</v>
      </c>
      <c r="G194" s="105">
        <f t="shared" si="36"/>
        <v>0</v>
      </c>
      <c r="H194" s="105">
        <v>0</v>
      </c>
      <c r="I194" s="105"/>
      <c r="J194" s="58">
        <v>2040.9375</v>
      </c>
      <c r="K194" s="25">
        <v>0</v>
      </c>
      <c r="L194" s="58"/>
      <c r="M194" s="105">
        <v>0</v>
      </c>
      <c r="N194" s="105">
        <v>0</v>
      </c>
      <c r="O194" s="25"/>
      <c r="P194" s="25"/>
      <c r="Q194" s="105">
        <v>0</v>
      </c>
      <c r="R194" s="95">
        <v>0</v>
      </c>
      <c r="S194" s="1">
        <v>1</v>
      </c>
    </row>
    <row r="195" spans="1:20" s="7" customFormat="1" ht="14.25" x14ac:dyDescent="0.2">
      <c r="A195" s="94">
        <v>10</v>
      </c>
      <c r="B195" s="24" t="s">
        <v>201</v>
      </c>
      <c r="C195" s="25">
        <v>3</v>
      </c>
      <c r="D195" s="58"/>
      <c r="E195" s="58"/>
      <c r="F195" s="105">
        <v>0</v>
      </c>
      <c r="G195" s="105">
        <v>0</v>
      </c>
      <c r="H195" s="105">
        <v>0</v>
      </c>
      <c r="I195" s="105"/>
      <c r="J195" s="58">
        <v>5491.5492957746483</v>
      </c>
      <c r="K195" s="25">
        <v>0</v>
      </c>
      <c r="L195" s="58"/>
      <c r="M195" s="105">
        <v>0</v>
      </c>
      <c r="N195" s="105">
        <v>0</v>
      </c>
      <c r="O195" s="25"/>
      <c r="P195" s="25"/>
      <c r="Q195" s="105">
        <v>0</v>
      </c>
      <c r="R195" s="95">
        <v>0</v>
      </c>
      <c r="S195" s="1">
        <v>1</v>
      </c>
    </row>
    <row r="196" spans="1:20" s="7" customFormat="1" ht="14.25" x14ac:dyDescent="0.2">
      <c r="A196" s="94">
        <v>11</v>
      </c>
      <c r="B196" s="24" t="s">
        <v>202</v>
      </c>
      <c r="C196" s="25">
        <v>5</v>
      </c>
      <c r="D196" s="58"/>
      <c r="E196" s="58"/>
      <c r="F196" s="105">
        <v>0</v>
      </c>
      <c r="G196" s="105">
        <f t="shared" si="36"/>
        <v>0</v>
      </c>
      <c r="H196" s="105">
        <v>0</v>
      </c>
      <c r="I196" s="105"/>
      <c r="J196" s="58">
        <v>9511.3978494623643</v>
      </c>
      <c r="K196" s="25">
        <v>0</v>
      </c>
      <c r="L196" s="58"/>
      <c r="M196" s="105">
        <v>0</v>
      </c>
      <c r="N196" s="105">
        <v>0</v>
      </c>
      <c r="O196" s="25"/>
      <c r="P196" s="25"/>
      <c r="Q196" s="105">
        <v>0</v>
      </c>
      <c r="R196" s="95">
        <v>0</v>
      </c>
      <c r="S196" s="1">
        <v>1</v>
      </c>
    </row>
    <row r="197" spans="1:20" s="7" customFormat="1" ht="14.25" x14ac:dyDescent="0.2">
      <c r="A197" s="94">
        <v>12</v>
      </c>
      <c r="B197" s="48" t="s">
        <v>170</v>
      </c>
      <c r="C197" s="25">
        <v>3</v>
      </c>
      <c r="D197" s="25">
        <v>3</v>
      </c>
      <c r="E197" s="25">
        <f>'[4]1.RSP Districts '!E197</f>
        <v>3</v>
      </c>
      <c r="F197" s="105">
        <f>(E197-D197)/D197%</f>
        <v>0</v>
      </c>
      <c r="G197" s="105">
        <f t="shared" si="36"/>
        <v>100</v>
      </c>
      <c r="H197" s="25">
        <v>0</v>
      </c>
      <c r="I197" s="25">
        <f>'[4]1.RSP Districts '!I197</f>
        <v>0</v>
      </c>
      <c r="J197" s="25">
        <v>6118.295454545454</v>
      </c>
      <c r="K197" s="25">
        <v>1738</v>
      </c>
      <c r="L197" s="25">
        <f>'[4]1.RSP Districts '!L197</f>
        <v>1738</v>
      </c>
      <c r="M197" s="105">
        <f>(L197-K197)/K197%</f>
        <v>0</v>
      </c>
      <c r="N197" s="105">
        <f>L197/J197%</f>
        <v>28.406604632157652</v>
      </c>
      <c r="O197" s="25">
        <v>116</v>
      </c>
      <c r="P197" s="25">
        <f>'[4]1.RSP Districts '!P197</f>
        <v>116</v>
      </c>
      <c r="Q197" s="105">
        <f>(P197-O197)/O197%</f>
        <v>0</v>
      </c>
      <c r="R197" s="32" t="s">
        <v>9</v>
      </c>
      <c r="S197" s="1">
        <v>1</v>
      </c>
    </row>
    <row r="198" spans="1:20" s="7" customFormat="1" thickBot="1" x14ac:dyDescent="0.25">
      <c r="A198" s="151">
        <v>13</v>
      </c>
      <c r="B198" s="38" t="s">
        <v>203</v>
      </c>
      <c r="C198" s="39">
        <v>2</v>
      </c>
      <c r="D198" s="150"/>
      <c r="E198" s="150"/>
      <c r="F198" s="139">
        <v>0</v>
      </c>
      <c r="G198" s="139">
        <f t="shared" si="36"/>
        <v>0</v>
      </c>
      <c r="H198" s="139">
        <v>0</v>
      </c>
      <c r="I198" s="139"/>
      <c r="J198" s="150">
        <v>3581.0526315789475</v>
      </c>
      <c r="K198" s="39">
        <v>0</v>
      </c>
      <c r="L198" s="150"/>
      <c r="M198" s="139">
        <v>0</v>
      </c>
      <c r="N198" s="139">
        <v>0</v>
      </c>
      <c r="O198" s="39"/>
      <c r="P198" s="149"/>
      <c r="Q198" s="139">
        <v>0</v>
      </c>
      <c r="R198" s="148">
        <v>0</v>
      </c>
      <c r="S198" s="1">
        <v>1</v>
      </c>
    </row>
    <row r="199" spans="1:20" s="5" customFormat="1" ht="15.75" thickBot="1" x14ac:dyDescent="0.3">
      <c r="A199" s="155">
        <f>COUNTIF(R186:R198,"*")</f>
        <v>5</v>
      </c>
      <c r="B199" s="154" t="s">
        <v>39</v>
      </c>
      <c r="C199" s="57">
        <f>SUM(C186:C198)</f>
        <v>190</v>
      </c>
      <c r="D199" s="57">
        <f>SUM(D186:D198)</f>
        <v>6</v>
      </c>
      <c r="E199" s="57">
        <f>SUM(E186:E198)</f>
        <v>6</v>
      </c>
      <c r="F199" s="156">
        <f>(E199-D199)/D199%</f>
        <v>0</v>
      </c>
      <c r="G199" s="156">
        <f t="shared" si="36"/>
        <v>3.1578947368421053</v>
      </c>
      <c r="H199" s="156">
        <f>SUM(H186:H198)</f>
        <v>0</v>
      </c>
      <c r="I199" s="156"/>
      <c r="J199" s="57">
        <f>SUM(J186:J198)</f>
        <v>343649.6738707067</v>
      </c>
      <c r="K199" s="57">
        <f>SUM(K186:K198)</f>
        <v>6406</v>
      </c>
      <c r="L199" s="57">
        <f>SUM(L186:L198)</f>
        <v>7447</v>
      </c>
      <c r="M199" s="156">
        <f>(L199-K199)/K199%</f>
        <v>16.250390259132065</v>
      </c>
      <c r="N199" s="156">
        <f>L199/J199%</f>
        <v>2.1670324653943447</v>
      </c>
      <c r="O199" s="57">
        <f>SUM(O186:O198)</f>
        <v>259</v>
      </c>
      <c r="P199" s="57">
        <f>SUM(P186:P198)</f>
        <v>302</v>
      </c>
      <c r="Q199" s="156">
        <f>(P199-O199)/O199%</f>
        <v>16.602316602316602</v>
      </c>
      <c r="R199" s="158"/>
      <c r="S199" s="1">
        <v>1</v>
      </c>
    </row>
    <row r="200" spans="1:20" s="5" customFormat="1" ht="6.75" customHeight="1" thickBot="1" x14ac:dyDescent="0.3">
      <c r="A200" s="35"/>
      <c r="B200" s="49"/>
      <c r="C200" s="35"/>
      <c r="D200" s="28"/>
      <c r="E200" s="28"/>
      <c r="F200" s="106"/>
      <c r="G200" s="106"/>
      <c r="H200" s="106"/>
      <c r="I200" s="106"/>
      <c r="J200" s="35"/>
      <c r="K200" s="28"/>
      <c r="L200" s="28"/>
      <c r="M200" s="28"/>
      <c r="N200" s="28"/>
      <c r="O200" s="28"/>
      <c r="P200" s="28"/>
      <c r="Q200" s="28"/>
      <c r="R200" s="50"/>
      <c r="S200" s="1">
        <v>1</v>
      </c>
    </row>
    <row r="201" spans="1:20" s="5" customFormat="1" ht="13.5" customHeight="1" thickBot="1" x14ac:dyDescent="0.3">
      <c r="A201" s="51">
        <f>(A40+A77+A103+A154+A173+A183+A7+A199)</f>
        <v>119</v>
      </c>
      <c r="B201" s="52" t="s">
        <v>171</v>
      </c>
      <c r="C201" s="57">
        <f>C40+C77+C103+C154+C173+C183+C7+C199</f>
        <v>5565</v>
      </c>
      <c r="D201" s="57">
        <f>D40+D77+D103+D154+D173+D183+D7+D199</f>
        <v>3547</v>
      </c>
      <c r="E201" s="57">
        <f>E40+E77+E103+E154+E173+E183+E7+E199</f>
        <v>3549</v>
      </c>
      <c r="F201" s="156">
        <f>(E201-D201)/D201%</f>
        <v>5.6385678037778407E-2</v>
      </c>
      <c r="G201" s="156">
        <f>E201/C201%</f>
        <v>63.773584905660378</v>
      </c>
      <c r="H201" s="57">
        <f>H40+H77+H103+H154+H173+H183+H7+H199</f>
        <v>27644</v>
      </c>
      <c r="I201" s="57">
        <f>I40+I77+I103+I154+I173+I183+I7+I199</f>
        <v>27660</v>
      </c>
      <c r="J201" s="57">
        <f>J199+J183+J173+J154+J103+J77+J40+J7</f>
        <v>12479974.528189644</v>
      </c>
      <c r="K201" s="57">
        <f>K40+K77+K103+K154+K173+K183+K7+K199</f>
        <v>5390250</v>
      </c>
      <c r="L201" s="57">
        <f>L40+L77+L103+L154+L173+L183+L7+L199</f>
        <v>5444378</v>
      </c>
      <c r="M201" s="156">
        <f>(L201-K201)/K201%</f>
        <v>1.0041834794304532</v>
      </c>
      <c r="N201" s="156">
        <f>L201/J201%</f>
        <v>43.624912756851323</v>
      </c>
      <c r="O201" s="57">
        <f>O199+O183+O173+O154+O103+O77+O40+O7</f>
        <v>325391</v>
      </c>
      <c r="P201" s="57">
        <f>P199+P183+P173+P154+P103+P77+P40+P7</f>
        <v>328324</v>
      </c>
      <c r="Q201" s="156">
        <f>(P201-O201)/O201%</f>
        <v>0.9013771124585499</v>
      </c>
      <c r="R201" s="137"/>
      <c r="S201" s="1">
        <v>1</v>
      </c>
    </row>
    <row r="202" spans="1:20" ht="6" customHeight="1" x14ac:dyDescent="0.2">
      <c r="A202" s="16"/>
      <c r="B202" s="14"/>
      <c r="C202" s="59"/>
      <c r="D202" s="28"/>
      <c r="E202" s="28"/>
      <c r="F202" s="106"/>
      <c r="G202" s="106"/>
      <c r="H202" s="106"/>
      <c r="I202" s="106"/>
      <c r="J202" s="59"/>
      <c r="K202" s="59"/>
      <c r="L202" s="59"/>
      <c r="M202" s="59"/>
      <c r="N202" s="59"/>
      <c r="O202" s="59"/>
      <c r="P202" s="59"/>
      <c r="Q202" s="152"/>
      <c r="R202" s="15"/>
      <c r="S202" s="1">
        <v>1</v>
      </c>
    </row>
    <row r="203" spans="1:20" ht="16.5" customHeight="1" thickBot="1" x14ac:dyDescent="0.25">
      <c r="A203" s="84" t="s">
        <v>172</v>
      </c>
      <c r="B203" s="14"/>
      <c r="C203" s="59"/>
      <c r="D203" s="28"/>
      <c r="E203" s="28"/>
      <c r="F203" s="106"/>
      <c r="G203" s="106"/>
      <c r="H203" s="106"/>
      <c r="I203" s="106"/>
      <c r="J203" s="59"/>
      <c r="K203" s="59"/>
      <c r="L203" s="59"/>
      <c r="M203" s="59"/>
      <c r="N203" s="59"/>
      <c r="O203" s="59"/>
      <c r="P203" s="59"/>
      <c r="Q203" s="59"/>
      <c r="R203" s="15"/>
      <c r="S203" s="1">
        <v>1</v>
      </c>
    </row>
    <row r="204" spans="1:20" ht="14.25" x14ac:dyDescent="0.2">
      <c r="A204" s="96" t="s">
        <v>213</v>
      </c>
      <c r="B204" s="97" t="s">
        <v>215</v>
      </c>
      <c r="C204" s="53"/>
      <c r="D204" s="102"/>
      <c r="E204" s="102"/>
      <c r="F204" s="110"/>
      <c r="G204" s="110"/>
      <c r="H204" s="141"/>
      <c r="I204" s="141"/>
      <c r="J204" s="54"/>
      <c r="K204" s="55"/>
      <c r="L204" s="55"/>
      <c r="M204" s="55"/>
      <c r="N204" s="55"/>
      <c r="O204" s="55"/>
      <c r="P204" s="55"/>
      <c r="Q204" s="55"/>
      <c r="R204" s="56"/>
      <c r="S204" s="1">
        <v>1</v>
      </c>
    </row>
    <row r="205" spans="1:20" ht="14.25" x14ac:dyDescent="0.2">
      <c r="A205" s="23">
        <f>COUNTIF($R$6:$R$199,"AJKRSP")</f>
        <v>8</v>
      </c>
      <c r="B205" s="24" t="s">
        <v>232</v>
      </c>
      <c r="C205" s="30">
        <f>SUMIF($R$6:$R$198,"AJKRSP",$C$6:$C$198)</f>
        <v>176</v>
      </c>
      <c r="D205" s="30">
        <f>SUMIF($R$6:$R$198,"AJKRSP",$D$6:$D$198)</f>
        <v>136</v>
      </c>
      <c r="E205" s="30">
        <f>SUMIF($R$6:$R$198,"AJKRSP",$E$6:$E$198)</f>
        <v>136</v>
      </c>
      <c r="F205" s="105">
        <f>(E205-D205)/D205%</f>
        <v>0</v>
      </c>
      <c r="G205" s="105">
        <f t="shared" ref="G205:G215" si="37">E205/C205%</f>
        <v>77.272727272727266</v>
      </c>
      <c r="H205" s="30">
        <f>SUMIF($R$6:$R$198,"AJKRSP",$H$6:$H$198)</f>
        <v>622</v>
      </c>
      <c r="I205" s="30">
        <f>SUMIF($R$6:$R$198,"AJKRSP",$H$6:$H$198)</f>
        <v>622</v>
      </c>
      <c r="J205" s="30">
        <f>SUMIF($R$6:$R$198,"AJKRSP",$J$6:$J$198)</f>
        <v>353469.33658932324</v>
      </c>
      <c r="K205" s="30">
        <f>SUMIF($R$6:$R$198,"AJKRSP",$K$6:$K$198)</f>
        <v>102320</v>
      </c>
      <c r="L205" s="30">
        <f>SUMIF($R$6:$R$198,"AJKRSP",$L$6:$L$198)</f>
        <v>102320</v>
      </c>
      <c r="M205" s="105">
        <f t="shared" ref="M205:M215" si="38">(L205-K205)/K205%</f>
        <v>0</v>
      </c>
      <c r="N205" s="105">
        <f t="shared" ref="N205:N215" si="39">L205/J205%</f>
        <v>28.947348301072019</v>
      </c>
      <c r="O205" s="30">
        <f>SUMIF($R$6:$R$198,"AJKRSP",$O$6:$O$198)</f>
        <v>4750</v>
      </c>
      <c r="P205" s="30">
        <f>SUMIF($R$6:$R$198,"AJKRSP",$P$6:$P$198)</f>
        <v>4750</v>
      </c>
      <c r="Q205" s="105">
        <f t="shared" ref="Q205:Q215" si="40">(P205-O205)/O205%</f>
        <v>0</v>
      </c>
      <c r="R205" s="32" t="s">
        <v>1</v>
      </c>
      <c r="S205" s="1">
        <v>1</v>
      </c>
    </row>
    <row r="206" spans="1:20" s="7" customFormat="1" ht="14.25" x14ac:dyDescent="0.2">
      <c r="A206" s="23">
        <f>COUNTIF($R$6:$R$199,"AKRSP")</f>
        <v>7</v>
      </c>
      <c r="B206" s="33" t="s">
        <v>233</v>
      </c>
      <c r="C206" s="30">
        <f>SUMIF($R$6:$R$198,"AKRSP",$C$6:$C$198)</f>
        <v>118</v>
      </c>
      <c r="D206" s="30">
        <f>SUMIF($R$6:$R$198,"AKRSP",$D$6:$D$198)</f>
        <v>118</v>
      </c>
      <c r="E206" s="30">
        <f>SUMIF($R$6:$R$198,"AKRSP",$E$6:$E$198)</f>
        <v>118</v>
      </c>
      <c r="F206" s="105">
        <f t="shared" ref="F206:F215" si="41">(E206-D206)/D206%</f>
        <v>0</v>
      </c>
      <c r="G206" s="105">
        <f t="shared" si="37"/>
        <v>100</v>
      </c>
      <c r="H206" s="30">
        <f>SUMIF($R$6:$R$198,"AKRSP",$H$6:$H$198)</f>
        <v>864</v>
      </c>
      <c r="I206" s="30">
        <f>SUMIF($R$6:$R$198,"AKRSP",$I$6:$I$198)</f>
        <v>864</v>
      </c>
      <c r="J206" s="30">
        <f>SUMIF($R$6:$R$198,"AKRSP",$J$6:$J$198)</f>
        <v>145528.83396348439</v>
      </c>
      <c r="K206" s="30">
        <f>SUMIF($R$6:$R$198,"AKRSP",$K$6:$K$198)</f>
        <v>110695</v>
      </c>
      <c r="L206" s="30">
        <f>SUMIF($R$6:$R$198,"AKRSP",$L$6:$L$198)</f>
        <v>110695</v>
      </c>
      <c r="M206" s="105">
        <f t="shared" si="38"/>
        <v>0</v>
      </c>
      <c r="N206" s="105">
        <f t="shared" si="39"/>
        <v>76.063964085478219</v>
      </c>
      <c r="O206" s="30">
        <f>SUMIF($R$6:$R$198,"AKRSP",$O$6:$O$198)</f>
        <v>5064</v>
      </c>
      <c r="P206" s="30">
        <f>SUMIF($R$6:$R$198,"AKRSP",$P$6:$P$198)</f>
        <v>5064</v>
      </c>
      <c r="Q206" s="105">
        <f t="shared" si="40"/>
        <v>0</v>
      </c>
      <c r="R206" s="32" t="s">
        <v>2</v>
      </c>
      <c r="S206" s="1">
        <v>1</v>
      </c>
    </row>
    <row r="207" spans="1:20" s="7" customFormat="1" ht="14.25" x14ac:dyDescent="0.2">
      <c r="A207" s="23">
        <f>COUNTIF($R$6:$R$199,"BRSP")</f>
        <v>14</v>
      </c>
      <c r="B207" s="33" t="s">
        <v>234</v>
      </c>
      <c r="C207" s="30">
        <f>SUMIF($R$6:$R$198,"BRSP",$C$6:$C$198)</f>
        <v>313</v>
      </c>
      <c r="D207" s="30">
        <f>SUMIF($R$6:$R$198,"BRSP",$D$6:$D$198)</f>
        <v>204</v>
      </c>
      <c r="E207" s="30">
        <f>SUMIF($R$6:$R$198,"BRSP",$E$6:$E$198)</f>
        <v>204</v>
      </c>
      <c r="F207" s="105">
        <f t="shared" si="41"/>
        <v>0</v>
      </c>
      <c r="G207" s="105">
        <f t="shared" si="37"/>
        <v>65.175718849840251</v>
      </c>
      <c r="H207" s="30">
        <f>SUMIF($R$6:$R$198,"BRSP",$H$6:$H$198)</f>
        <v>1338</v>
      </c>
      <c r="I207" s="30">
        <f>SUMIF($R$6:$R$198,"BRSP",$H$6:$H$198)</f>
        <v>1338</v>
      </c>
      <c r="J207" s="30">
        <f>SUMIF($R$6:$R$198,"BRSP",$J$6:$J$198)</f>
        <v>423186.125</v>
      </c>
      <c r="K207" s="30">
        <v>187074</v>
      </c>
      <c r="L207" s="30">
        <f>SUMIF($R$6:$R$198,"BRSP",$L$6:$L$198)</f>
        <v>188824</v>
      </c>
      <c r="M207" s="105">
        <f t="shared" si="38"/>
        <v>0.93545869548948546</v>
      </c>
      <c r="N207" s="105">
        <f t="shared" si="39"/>
        <v>44.619610342848553</v>
      </c>
      <c r="O207" s="30">
        <f>SUMIF($R$6:$R$198,"BRSP",$O$6:$O$198)</f>
        <v>11481</v>
      </c>
      <c r="P207" s="30">
        <f>SUMIF($R$6:$R$198,"BRSP",$P$6:$P$198)</f>
        <v>11481</v>
      </c>
      <c r="Q207" s="105">
        <f t="shared" si="40"/>
        <v>0</v>
      </c>
      <c r="R207" s="32" t="s">
        <v>3</v>
      </c>
      <c r="S207" s="1">
        <v>1</v>
      </c>
      <c r="T207" s="88"/>
    </row>
    <row r="208" spans="1:20" s="7" customFormat="1" ht="14.25" x14ac:dyDescent="0.2">
      <c r="A208" s="23">
        <f>COUNTIF($R$6:$R$199,"GBTI")</f>
        <v>3</v>
      </c>
      <c r="B208" s="33" t="s">
        <v>235</v>
      </c>
      <c r="C208" s="30">
        <f>SUMIF($R$6:$R$198,"GBTI",$C$6:$C$198)</f>
        <v>165</v>
      </c>
      <c r="D208" s="30">
        <f>SUMIF($R$6:$R$198,"GBTI",$D$6:$D$198)</f>
        <v>22</v>
      </c>
      <c r="E208" s="30">
        <f>SUMIF($R$6:$R$198,"GBTI",$E$6:$E$198)</f>
        <v>22</v>
      </c>
      <c r="F208" s="105">
        <f t="shared" si="41"/>
        <v>0</v>
      </c>
      <c r="G208" s="105">
        <f t="shared" si="37"/>
        <v>13.333333333333334</v>
      </c>
      <c r="H208" s="30">
        <f>SUMIF($R$6:$R$198,"GBTI",$H$6:$H$198)</f>
        <v>114</v>
      </c>
      <c r="I208" s="30">
        <f>SUMIF($R$6:$R$198,"GBTI",$H$6:$H$198)</f>
        <v>114</v>
      </c>
      <c r="J208" s="30">
        <f>SUMIF($R$6:$R$198,"GBTI",$J$6:$J$198)</f>
        <v>371315</v>
      </c>
      <c r="K208" s="30">
        <f>SUMIF($R$6:$R$198,"GBTI",$K$6:$K$198)</f>
        <v>34662</v>
      </c>
      <c r="L208" s="30">
        <f>SUMIF($R$6:$R$198,"GBTI",$L$6:$L$198)</f>
        <v>35879</v>
      </c>
      <c r="M208" s="105">
        <f t="shared" si="38"/>
        <v>3.5110495643644337</v>
      </c>
      <c r="N208" s="105">
        <f t="shared" si="39"/>
        <v>9.6626853210885635</v>
      </c>
      <c r="O208" s="30">
        <f>SUMIF($R$6:$R$198,"GBTI",$O$6:$O$198)</f>
        <v>2983</v>
      </c>
      <c r="P208" s="30">
        <f>SUMIF($R$6:$R$198,"GBTI",$P$6:$P$198)</f>
        <v>3042</v>
      </c>
      <c r="Q208" s="105">
        <f t="shared" si="40"/>
        <v>1.9778746228628898</v>
      </c>
      <c r="R208" s="32" t="s">
        <v>4</v>
      </c>
      <c r="S208" s="1">
        <v>1</v>
      </c>
    </row>
    <row r="209" spans="1:20" s="7" customFormat="1" ht="14.25" x14ac:dyDescent="0.2">
      <c r="A209" s="23">
        <f>COUNTIF($R$6:$R$199,"NRSP")</f>
        <v>52</v>
      </c>
      <c r="B209" s="33" t="s">
        <v>236</v>
      </c>
      <c r="C209" s="30">
        <f>SUMIF($R$6:$R$198,"NRSP",$C$6:$C$198)</f>
        <v>2562</v>
      </c>
      <c r="D209" s="30">
        <f>SUMIF($R$6:$R$198,"NRSP",$D$6:$D$198)</f>
        <v>1980</v>
      </c>
      <c r="E209" s="30">
        <f>SUMIF($R$6:$R$198,"NRSP",$E$6:$E$198)</f>
        <v>1982</v>
      </c>
      <c r="F209" s="105">
        <f t="shared" si="41"/>
        <v>0.10101010101010101</v>
      </c>
      <c r="G209" s="105">
        <f t="shared" si="37"/>
        <v>77.361436377829818</v>
      </c>
      <c r="H209" s="30">
        <f>SUMIF($R$6:$R$198,"NRSP",$H$6:$H$198)</f>
        <v>13880</v>
      </c>
      <c r="I209" s="30">
        <f>SUMIF($R$6:$R$198,"NRSP",$I$6:$I$198)</f>
        <v>13896</v>
      </c>
      <c r="J209" s="30">
        <f>SUMIF($R$6:$R$198,"NRSP",$J$6:$J$198)</f>
        <v>6177447.7295798948</v>
      </c>
      <c r="K209" s="30">
        <f>SUMIF($R$6:$R$198,"NRSP",$K$6:$K$198)</f>
        <v>2288825</v>
      </c>
      <c r="L209" s="30">
        <f>SUMIF($R$6:$R$198,"NRSP",$L$6:$L$198)</f>
        <v>2302313</v>
      </c>
      <c r="M209" s="105">
        <f t="shared" si="38"/>
        <v>0.58929800225006279</v>
      </c>
      <c r="N209" s="105">
        <f t="shared" si="39"/>
        <v>37.269647608278049</v>
      </c>
      <c r="O209" s="30">
        <f>SUMIF($R$6:$R$198,"NRSP",$O$6:$O$198)</f>
        <v>151374</v>
      </c>
      <c r="P209" s="30">
        <f>SUMIF($R$6:$R$198,"NRSP",$P$6:$P$198)</f>
        <v>152277</v>
      </c>
      <c r="Q209" s="105">
        <f t="shared" si="40"/>
        <v>0.59653573268857263</v>
      </c>
      <c r="R209" s="32" t="s">
        <v>5</v>
      </c>
      <c r="S209" s="1">
        <v>1</v>
      </c>
    </row>
    <row r="210" spans="1:20" s="7" customFormat="1" ht="14.25" x14ac:dyDescent="0.2">
      <c r="A210" s="23">
        <f>COUNTIF($R$6:$R$199,"PRSP")-4</f>
        <v>21</v>
      </c>
      <c r="B210" s="33" t="s">
        <v>251</v>
      </c>
      <c r="C210" s="30">
        <f>SUMIF($R$6:$R$198,"PRSP",C6:C198)</f>
        <v>1865</v>
      </c>
      <c r="D210" s="30">
        <f>SUMIF($R$6:$R$198,"PRSP",D6:D198)</f>
        <v>701</v>
      </c>
      <c r="E210" s="30">
        <f>SUMIF($R$6:$R$198,"PRSP",E6:E198)</f>
        <v>702</v>
      </c>
      <c r="F210" s="105">
        <f t="shared" si="41"/>
        <v>0.14265335235378032</v>
      </c>
      <c r="G210" s="105">
        <f t="shared" si="37"/>
        <v>37.640750670241289</v>
      </c>
      <c r="H210" s="30">
        <f>SUMIF($R$6:$R$198,"PRSP",H6:H198)</f>
        <v>5214</v>
      </c>
      <c r="I210" s="30">
        <f>SUMIF($R$6:$R$198,"PRSP",I6:I198)</f>
        <v>5214</v>
      </c>
      <c r="J210" s="30">
        <f>SUMIF($R$6:$R$198,"pRSP",$J$6:$J$198)</f>
        <v>4326866.1652344316</v>
      </c>
      <c r="K210" s="30">
        <f>SUMIF($R$6:$R$198,"pRSP",$K$6:$K$198)</f>
        <v>1150843</v>
      </c>
      <c r="L210" s="30">
        <f>SUMIF($R$6:$R$198,"PRSP",$L$6:$L$198)</f>
        <v>1174038</v>
      </c>
      <c r="M210" s="105">
        <f t="shared" si="38"/>
        <v>2.0154790879381461</v>
      </c>
      <c r="N210" s="105">
        <f t="shared" si="39"/>
        <v>27.133679553880771</v>
      </c>
      <c r="O210" s="30">
        <f>SUMIF($R$6:$R$198,"pRSP",$O$6:$O$198)</f>
        <v>68982</v>
      </c>
      <c r="P210" s="30">
        <f>SUMIF($R$6:$R$198,"PRSP",$P$6:$P$198)</f>
        <v>70210</v>
      </c>
      <c r="Q210" s="105">
        <f t="shared" si="40"/>
        <v>1.7801745382853498</v>
      </c>
      <c r="R210" s="32" t="s">
        <v>6</v>
      </c>
      <c r="S210" s="1">
        <v>1</v>
      </c>
      <c r="T210" s="163"/>
    </row>
    <row r="211" spans="1:20" s="7" customFormat="1" ht="14.25" x14ac:dyDescent="0.2">
      <c r="A211" s="23">
        <f>COUNTIF($R$6:$R$199,"SGA")</f>
        <v>1</v>
      </c>
      <c r="B211" s="33" t="s">
        <v>237</v>
      </c>
      <c r="C211" s="30">
        <f>SUMIF($R$6:$R$198,"SGA",$C$6:$C$198)</f>
        <v>55</v>
      </c>
      <c r="D211" s="30">
        <f>SUMIF($R$6:$R$198,"SGA",$D$6:$D$198)</f>
        <v>13</v>
      </c>
      <c r="E211" s="30">
        <f>SUMIF($R$6:$R$198,"SGA",$E$6:$E$198)</f>
        <v>13</v>
      </c>
      <c r="F211" s="105">
        <f t="shared" si="41"/>
        <v>0</v>
      </c>
      <c r="G211" s="105">
        <f t="shared" si="37"/>
        <v>23.636363636363633</v>
      </c>
      <c r="H211" s="30">
        <f>SUMIF($R$6:$R$198,"SGA",$H$6:$H$198)</f>
        <v>260</v>
      </c>
      <c r="I211" s="30">
        <f>SUMIF($R$6:$R$198,"SGA",$H$6:$H$198)</f>
        <v>260</v>
      </c>
      <c r="J211" s="30">
        <f>SUMIF($R$6:$R$198,"SGA",$J$6:$J$198)</f>
        <v>209191</v>
      </c>
      <c r="K211" s="30">
        <f>SUMIF($R$6:$R$198,"SGA",$K$6:$K$198)</f>
        <v>16500</v>
      </c>
      <c r="L211" s="30">
        <f>SUMIF($R$6:$R$198,"SGA",$L$6:$L$198)</f>
        <v>16500</v>
      </c>
      <c r="M211" s="105">
        <f t="shared" si="38"/>
        <v>0</v>
      </c>
      <c r="N211" s="105">
        <f t="shared" si="39"/>
        <v>7.8875286221682579</v>
      </c>
      <c r="O211" s="30">
        <f>SUMIF($R$6:$R$198,"SGA",$O$6:$O$198)</f>
        <v>860</v>
      </c>
      <c r="P211" s="30">
        <f>SUMIF($R$6:$R$198,"SGA",$P$6:$P$198)</f>
        <v>860</v>
      </c>
      <c r="Q211" s="105">
        <f t="shared" si="40"/>
        <v>0</v>
      </c>
      <c r="R211" s="32" t="s">
        <v>7</v>
      </c>
      <c r="S211" s="1">
        <v>1</v>
      </c>
    </row>
    <row r="212" spans="1:20" s="7" customFormat="1" ht="14.25" x14ac:dyDescent="0.2">
      <c r="A212" s="23">
        <f>COUNTIF($R$6:$R$199,"SRSO")</f>
        <v>9</v>
      </c>
      <c r="B212" s="33" t="s">
        <v>238</v>
      </c>
      <c r="C212" s="30">
        <f>SUMIF($R$6:$R$198,"SRSO",$C$6:$C$198)</f>
        <v>431</v>
      </c>
      <c r="D212" s="30">
        <f>SUMIF($R$6:$R$198,"SRSO",$D$6:$D$198)</f>
        <v>338</v>
      </c>
      <c r="E212" s="30">
        <f>SUMIF($R$6:$R$198,"SRSO",$E$6:$E$198)</f>
        <v>338</v>
      </c>
      <c r="F212" s="105">
        <f t="shared" si="41"/>
        <v>0</v>
      </c>
      <c r="G212" s="105">
        <f t="shared" si="37"/>
        <v>78.422273781902561</v>
      </c>
      <c r="H212" s="30">
        <f>SUMIF($R$6:$R$198,"SRSO",$H$6:$H$198)</f>
        <v>1875</v>
      </c>
      <c r="I212" s="30">
        <f>SUMIF($R$6:$R$198,"SRSO",$H$6:$H$198)</f>
        <v>1875</v>
      </c>
      <c r="J212" s="30">
        <f>SUMIF($R$6:$R$198,"SRSO",$J$6:$J$198)</f>
        <v>1183970.1255411254</v>
      </c>
      <c r="K212" s="30">
        <f>SUMIF($R$6:$R$198,"SRSO",$K$6:$K$198)</f>
        <v>591729</v>
      </c>
      <c r="L212" s="30">
        <f>SUMIF($R$6:$R$198,"SRSO",$L$6:$L$198)</f>
        <v>591729</v>
      </c>
      <c r="M212" s="105">
        <f t="shared" si="38"/>
        <v>0</v>
      </c>
      <c r="N212" s="105">
        <f t="shared" si="39"/>
        <v>49.978372531110473</v>
      </c>
      <c r="O212" s="30">
        <f>SUMIF($R$6:$R$198,"SRSO",$O$6:$O$198)</f>
        <v>37065</v>
      </c>
      <c r="P212" s="30">
        <f>SUMIF($R$6:$R$198,"SRSO",$P$6:$P$198)</f>
        <v>37065</v>
      </c>
      <c r="Q212" s="105">
        <f t="shared" si="40"/>
        <v>0</v>
      </c>
      <c r="R212" s="32" t="s">
        <v>8</v>
      </c>
      <c r="S212" s="1">
        <v>1</v>
      </c>
    </row>
    <row r="213" spans="1:20" s="7" customFormat="1" ht="14.25" x14ac:dyDescent="0.2">
      <c r="A213" s="23">
        <f>COUNTIF($R$6:$R$199,"SRSP")</f>
        <v>25</v>
      </c>
      <c r="B213" s="33" t="s">
        <v>239</v>
      </c>
      <c r="C213" s="30">
        <f>SUMIF($R$6:$R$198,"SRSP",$C$6:$C$198)</f>
        <v>921</v>
      </c>
      <c r="D213" s="30">
        <f>SUMIF($R$6:$R$198,"SRSP",$D$6:$D$198)</f>
        <v>527</v>
      </c>
      <c r="E213" s="30">
        <f>SUMIF($R$6:$R$198,"SRSP",$E$6:$E$198)</f>
        <v>527</v>
      </c>
      <c r="F213" s="179">
        <f t="shared" si="41"/>
        <v>0</v>
      </c>
      <c r="G213" s="105">
        <f t="shared" si="37"/>
        <v>57.220412595005421</v>
      </c>
      <c r="H213" s="30">
        <f>SUMIF($R$6:$R$198,"SRSP",$H$6:$H$198)</f>
        <v>2916</v>
      </c>
      <c r="I213" s="30">
        <f>SUMIF($R$6:$R$198,"SRSP",$H$6:$H$198)</f>
        <v>2916</v>
      </c>
      <c r="J213" s="30">
        <f>SUMIF($R$6:$R$198,"SRSP",$J$6:$J$198)</f>
        <v>1843252.2259767302</v>
      </c>
      <c r="K213" s="30">
        <f>SUMIF($R$6:$R$198,"SRSP",$K$6:$K$198)</f>
        <v>639369</v>
      </c>
      <c r="L213" s="30">
        <f>SUMIF($R$6:$R$198,"SRSP",$L$6:$L$198)</f>
        <v>655532</v>
      </c>
      <c r="M213" s="105">
        <f t="shared" si="38"/>
        <v>2.5279611617078714</v>
      </c>
      <c r="N213" s="105">
        <f t="shared" si="39"/>
        <v>35.563879471385789</v>
      </c>
      <c r="O213" s="30">
        <f>SUMIF($R$6:$R$198,"SRSP",$O$6:$O$198)</f>
        <v>26627</v>
      </c>
      <c r="P213" s="30">
        <f>SUMIF($R$6:$R$198,"SRSP",$P$6:$P$198)</f>
        <v>27340</v>
      </c>
      <c r="Q213" s="105">
        <f t="shared" si="40"/>
        <v>2.6777331280279419</v>
      </c>
      <c r="R213" s="32" t="s">
        <v>9</v>
      </c>
      <c r="S213" s="1">
        <v>1</v>
      </c>
      <c r="T213" s="88"/>
    </row>
    <row r="214" spans="1:20" s="7" customFormat="1" thickBot="1" x14ac:dyDescent="0.25">
      <c r="A214" s="37">
        <f>COUNTIF($R$6:$R$199,"TRDP")</f>
        <v>4</v>
      </c>
      <c r="B214" s="147" t="s">
        <v>240</v>
      </c>
      <c r="C214" s="40">
        <f>SUMIF($R$6:$R$198,"TRDP",$C$6:$C$198)</f>
        <v>151</v>
      </c>
      <c r="D214" s="40">
        <f>SUMIF($R$6:$R$198,"TRDP",$D$6:$D$198)</f>
        <v>113</v>
      </c>
      <c r="E214" s="40">
        <f>SUMIF($R$6:$R$198,"TRDP",$E$6:$E$198)</f>
        <v>113</v>
      </c>
      <c r="F214" s="139">
        <f t="shared" si="41"/>
        <v>0</v>
      </c>
      <c r="G214" s="139">
        <f t="shared" si="37"/>
        <v>74.83443708609272</v>
      </c>
      <c r="H214" s="40">
        <f>SUMIF($R$6:$R$198,"TRDP",$H$6:$H$198)</f>
        <v>561</v>
      </c>
      <c r="I214" s="40">
        <f>SUMIF($R$6:$R$198,"TRDP",$H$6:$H$198)</f>
        <v>561</v>
      </c>
      <c r="J214" s="40">
        <f>SUMIF($R$6:$R$198,"TRDP",$J$6:$J$198)</f>
        <v>519666</v>
      </c>
      <c r="K214" s="40">
        <f>SUMIF($R$6:$R$198,"TRDP",$K$6:$K$198)</f>
        <v>266483</v>
      </c>
      <c r="L214" s="40">
        <f>SUMIF($R$6:$R$198,"TRDP",$L$6:$L$198)</f>
        <v>266548</v>
      </c>
      <c r="M214" s="139">
        <f t="shared" si="38"/>
        <v>2.4391799852148167E-2</v>
      </c>
      <c r="N214" s="139">
        <f t="shared" si="39"/>
        <v>51.292176128513319</v>
      </c>
      <c r="O214" s="40">
        <f>SUMIF($R$6:$R$198,"TRDP",$O$6:$O$198)</f>
        <v>16205</v>
      </c>
      <c r="P214" s="40">
        <f>SUMIF($R$6:$R$198,"TRDP",$P$6:$P$198)</f>
        <v>16235</v>
      </c>
      <c r="Q214" s="139">
        <f t="shared" si="40"/>
        <v>0.1851280468991052</v>
      </c>
      <c r="R214" s="42" t="s">
        <v>10</v>
      </c>
      <c r="S214" s="1">
        <v>1</v>
      </c>
    </row>
    <row r="215" spans="1:20" s="8" customFormat="1" ht="15.75" thickBot="1" x14ac:dyDescent="0.25">
      <c r="A215" s="155">
        <f>SUM(A205:A214)-25</f>
        <v>119</v>
      </c>
      <c r="B215" s="154" t="s">
        <v>171</v>
      </c>
      <c r="C215" s="146">
        <f>C227</f>
        <v>5565</v>
      </c>
      <c r="D215" s="146">
        <f>D227</f>
        <v>3547</v>
      </c>
      <c r="E215" s="146">
        <f>E227</f>
        <v>3549</v>
      </c>
      <c r="F215" s="156">
        <f t="shared" si="41"/>
        <v>5.6385678037778407E-2</v>
      </c>
      <c r="G215" s="156">
        <f t="shared" si="37"/>
        <v>63.773584905660378</v>
      </c>
      <c r="H215" s="57">
        <f>SUM(H205:H214)</f>
        <v>27644</v>
      </c>
      <c r="I215" s="57">
        <f>SUM(I205:I214)</f>
        <v>27660</v>
      </c>
      <c r="J215" s="146">
        <f>J227</f>
        <v>12479974.528189642</v>
      </c>
      <c r="K215" s="57">
        <f>SUM(K205:K214)</f>
        <v>5388500</v>
      </c>
      <c r="L215" s="57">
        <f>SUM(L205:L214)</f>
        <v>5444378</v>
      </c>
      <c r="M215" s="156">
        <f t="shared" si="38"/>
        <v>1.0369861742599982</v>
      </c>
      <c r="N215" s="156">
        <f t="shared" si="39"/>
        <v>43.62491275685133</v>
      </c>
      <c r="O215" s="57">
        <f>SUM(O205:O214)</f>
        <v>325391</v>
      </c>
      <c r="P215" s="57">
        <f>SUM(P205:P214)</f>
        <v>328324</v>
      </c>
      <c r="Q215" s="156">
        <f t="shared" si="40"/>
        <v>0.9013771124585499</v>
      </c>
      <c r="R215" s="145"/>
      <c r="S215" s="1">
        <v>1</v>
      </c>
    </row>
    <row r="216" spans="1:20" s="8" customFormat="1" ht="26.25" customHeight="1" x14ac:dyDescent="0.2">
      <c r="A216" s="123" t="s">
        <v>252</v>
      </c>
      <c r="B216" s="49"/>
      <c r="C216" s="35"/>
      <c r="D216" s="35"/>
      <c r="E216" s="35"/>
      <c r="F216" s="109"/>
      <c r="G216" s="109"/>
      <c r="H216" s="109"/>
      <c r="I216" s="109"/>
      <c r="J216" s="35"/>
      <c r="K216" s="35"/>
      <c r="L216" s="35"/>
      <c r="M216" s="35"/>
      <c r="N216" s="35"/>
      <c r="O216" s="35"/>
      <c r="P216" s="35"/>
      <c r="Q216" s="35"/>
      <c r="R216" s="82"/>
      <c r="S216" s="1">
        <v>1</v>
      </c>
    </row>
    <row r="217" spans="1:20" ht="18" customHeight="1" thickBot="1" x14ac:dyDescent="0.25">
      <c r="A217" s="83" t="s">
        <v>214</v>
      </c>
      <c r="B217" s="14"/>
      <c r="C217" s="59"/>
      <c r="D217" s="28"/>
      <c r="E217" s="28"/>
      <c r="F217" s="106"/>
      <c r="G217" s="106"/>
      <c r="H217" s="106"/>
      <c r="I217" s="106"/>
      <c r="J217" s="59"/>
      <c r="K217" s="59"/>
      <c r="L217" s="59"/>
      <c r="M217" s="59"/>
      <c r="N217" s="59"/>
      <c r="O217" s="59"/>
      <c r="P217" s="59"/>
      <c r="Q217" s="59"/>
      <c r="R217" s="15"/>
      <c r="S217" s="1">
        <v>1</v>
      </c>
    </row>
    <row r="218" spans="1:20" ht="127.5" x14ac:dyDescent="0.2">
      <c r="A218" s="85" t="s">
        <v>244</v>
      </c>
      <c r="B218" s="98" t="s">
        <v>216</v>
      </c>
      <c r="C218" s="53"/>
      <c r="D218" s="102"/>
      <c r="E218" s="102"/>
      <c r="F218" s="110"/>
      <c r="G218" s="110"/>
      <c r="H218" s="110"/>
      <c r="I218" s="110"/>
      <c r="J218" s="53"/>
      <c r="K218" s="53"/>
      <c r="L218" s="53"/>
      <c r="M218" s="53"/>
      <c r="N218" s="53"/>
      <c r="O218" s="55"/>
      <c r="P218" s="55"/>
      <c r="Q218" s="55"/>
      <c r="R218" s="99" t="s">
        <v>245</v>
      </c>
      <c r="S218" s="1">
        <v>1</v>
      </c>
    </row>
    <row r="219" spans="1:20" ht="14.25" x14ac:dyDescent="0.2">
      <c r="A219" s="23">
        <f>A7</f>
        <v>1</v>
      </c>
      <c r="B219" s="33" t="s">
        <v>227</v>
      </c>
      <c r="C219" s="25">
        <f>C7</f>
        <v>12</v>
      </c>
      <c r="D219" s="25">
        <f>D7</f>
        <v>12</v>
      </c>
      <c r="E219" s="25">
        <f>E7</f>
        <v>12</v>
      </c>
      <c r="F219" s="105">
        <f>(E219-D219)/D219%</f>
        <v>0</v>
      </c>
      <c r="G219" s="105">
        <f t="shared" ref="G219:G227" si="42">E219/C219%</f>
        <v>100</v>
      </c>
      <c r="H219" s="25">
        <f>H7</f>
        <v>722</v>
      </c>
      <c r="I219" s="25"/>
      <c r="J219" s="25">
        <f>J7</f>
        <v>43884</v>
      </c>
      <c r="K219" s="25">
        <f>K7</f>
        <v>26187</v>
      </c>
      <c r="L219" s="25">
        <f>L7</f>
        <v>26187</v>
      </c>
      <c r="M219" s="105">
        <f t="shared" ref="M219:M227" si="43">(L219-K219)/K219%</f>
        <v>0</v>
      </c>
      <c r="N219" s="105">
        <f t="shared" ref="N219:N227" si="44">L219/J219%</f>
        <v>59.673229423024338</v>
      </c>
      <c r="O219" s="25">
        <f>O7</f>
        <v>1563</v>
      </c>
      <c r="P219" s="25">
        <f>P7</f>
        <v>1593</v>
      </c>
      <c r="Q219" s="105">
        <f t="shared" ref="Q219:Q227" si="45">(P219-O219)/O219%</f>
        <v>1.9193857965451055</v>
      </c>
      <c r="R219" s="81">
        <f>A7</f>
        <v>1</v>
      </c>
      <c r="S219" s="1">
        <v>1</v>
      </c>
    </row>
    <row r="220" spans="1:20" ht="14.25" x14ac:dyDescent="0.2">
      <c r="A220" s="23">
        <f>A40</f>
        <v>19</v>
      </c>
      <c r="B220" s="33" t="s">
        <v>173</v>
      </c>
      <c r="C220" s="25">
        <f>C40</f>
        <v>547</v>
      </c>
      <c r="D220" s="25">
        <f>D40</f>
        <v>279</v>
      </c>
      <c r="E220" s="25">
        <f>E40</f>
        <v>279</v>
      </c>
      <c r="F220" s="105">
        <f t="shared" ref="F220:F227" si="46">(E220-D220)/D220%</f>
        <v>0</v>
      </c>
      <c r="G220" s="105">
        <f t="shared" si="42"/>
        <v>51.005484460694703</v>
      </c>
      <c r="H220" s="25">
        <f>H40</f>
        <v>2362</v>
      </c>
      <c r="I220" s="25"/>
      <c r="J220" s="25">
        <f>J40</f>
        <v>814191</v>
      </c>
      <c r="K220" s="25">
        <f>K40</f>
        <v>285272</v>
      </c>
      <c r="L220" s="25">
        <f>L40</f>
        <v>287222</v>
      </c>
      <c r="M220" s="105">
        <f t="shared" si="43"/>
        <v>0.68355814801312431</v>
      </c>
      <c r="N220" s="105">
        <f t="shared" si="44"/>
        <v>35.276980462815239</v>
      </c>
      <c r="O220" s="25">
        <f>O40</f>
        <v>16331</v>
      </c>
      <c r="P220" s="25">
        <f>P40</f>
        <v>16442</v>
      </c>
      <c r="Q220" s="105">
        <f t="shared" si="45"/>
        <v>0.67968893515400153</v>
      </c>
      <c r="R220" s="80">
        <f>A39</f>
        <v>30</v>
      </c>
      <c r="S220" s="1">
        <v>1</v>
      </c>
    </row>
    <row r="221" spans="1:20" ht="14.25" x14ac:dyDescent="0.2">
      <c r="A221" s="23">
        <f>A77</f>
        <v>22</v>
      </c>
      <c r="B221" s="33" t="s">
        <v>228</v>
      </c>
      <c r="C221" s="25">
        <f>C77</f>
        <v>961</v>
      </c>
      <c r="D221" s="25">
        <f>D77</f>
        <v>516</v>
      </c>
      <c r="E221" s="25">
        <f>E77</f>
        <v>518</v>
      </c>
      <c r="F221" s="105">
        <f t="shared" si="46"/>
        <v>0.38759689922480617</v>
      </c>
      <c r="G221" s="105">
        <f t="shared" si="42"/>
        <v>53.90218522372529</v>
      </c>
      <c r="H221" s="25">
        <f>H77</f>
        <v>4691</v>
      </c>
      <c r="I221" s="25"/>
      <c r="J221" s="25">
        <f>J77</f>
        <v>1889904</v>
      </c>
      <c r="K221" s="25">
        <f>K77</f>
        <v>814805</v>
      </c>
      <c r="L221" s="25">
        <f>L77</f>
        <v>832395</v>
      </c>
      <c r="M221" s="105">
        <f t="shared" si="43"/>
        <v>2.1587987309847141</v>
      </c>
      <c r="N221" s="105">
        <f t="shared" si="44"/>
        <v>44.044300662890812</v>
      </c>
      <c r="O221" s="25">
        <f>O77</f>
        <v>37902</v>
      </c>
      <c r="P221" s="25">
        <f>P77</f>
        <v>38724</v>
      </c>
      <c r="Q221" s="105">
        <f t="shared" si="45"/>
        <v>2.1687509893936996</v>
      </c>
      <c r="R221" s="81">
        <f>A76</f>
        <v>24</v>
      </c>
      <c r="S221" s="1">
        <v>1</v>
      </c>
    </row>
    <row r="222" spans="1:20" ht="14.25" x14ac:dyDescent="0.2">
      <c r="A222" s="23">
        <f>A103</f>
        <v>22</v>
      </c>
      <c r="B222" s="33" t="s">
        <v>174</v>
      </c>
      <c r="C222" s="25">
        <f>C103</f>
        <v>921</v>
      </c>
      <c r="D222" s="25">
        <f>D103</f>
        <v>690</v>
      </c>
      <c r="E222" s="25">
        <f>E103</f>
        <v>690</v>
      </c>
      <c r="F222" s="105">
        <f t="shared" si="46"/>
        <v>0</v>
      </c>
      <c r="G222" s="105">
        <f t="shared" si="42"/>
        <v>74.918566775244287</v>
      </c>
      <c r="H222" s="25">
        <f>H103</f>
        <v>3953</v>
      </c>
      <c r="I222" s="25"/>
      <c r="J222" s="25">
        <f>J103</f>
        <v>2816903.1255411254</v>
      </c>
      <c r="K222" s="25">
        <f>K103</f>
        <v>1153171</v>
      </c>
      <c r="L222" s="25">
        <f>L103</f>
        <v>1156118</v>
      </c>
      <c r="M222" s="105">
        <f t="shared" si="43"/>
        <v>0.25555620111848115</v>
      </c>
      <c r="N222" s="105">
        <f t="shared" si="44"/>
        <v>41.042163982047143</v>
      </c>
      <c r="O222" s="25">
        <f>O103</f>
        <v>71216</v>
      </c>
      <c r="P222" s="25">
        <f>P103</f>
        <v>71415</v>
      </c>
      <c r="Q222" s="105">
        <f t="shared" si="45"/>
        <v>0.27943158840709953</v>
      </c>
      <c r="R222" s="81">
        <f>A102</f>
        <v>23</v>
      </c>
      <c r="S222" s="1">
        <v>1</v>
      </c>
    </row>
    <row r="223" spans="1:20" ht="14.25" x14ac:dyDescent="0.2">
      <c r="A223" s="23">
        <f>A154</f>
        <v>34</v>
      </c>
      <c r="B223" s="33" t="s">
        <v>175</v>
      </c>
      <c r="C223" s="25">
        <f>C154</f>
        <v>2635</v>
      </c>
      <c r="D223" s="25">
        <f>D154</f>
        <v>1771</v>
      </c>
      <c r="E223" s="25">
        <f>E154</f>
        <v>1771</v>
      </c>
      <c r="F223" s="105">
        <f t="shared" si="46"/>
        <v>0</v>
      </c>
      <c r="G223" s="105">
        <f t="shared" si="42"/>
        <v>67.210626185958247</v>
      </c>
      <c r="H223" s="25">
        <f>H154</f>
        <v>13657</v>
      </c>
      <c r="I223" s="25"/>
      <c r="J223" s="25">
        <f>J154</f>
        <v>6063823.2431565113</v>
      </c>
      <c r="K223" s="25">
        <f>K154</f>
        <v>2757286</v>
      </c>
      <c r="L223" s="25">
        <f>L154</f>
        <v>2786890</v>
      </c>
      <c r="M223" s="105">
        <f t="shared" si="43"/>
        <v>1.0736644657101222</v>
      </c>
      <c r="N223" s="105">
        <f t="shared" si="44"/>
        <v>45.959288195697638</v>
      </c>
      <c r="O223" s="25">
        <f>O154</f>
        <v>181118</v>
      </c>
      <c r="P223" s="25">
        <f>P154</f>
        <v>182798</v>
      </c>
      <c r="Q223" s="105">
        <f t="shared" si="45"/>
        <v>0.92757208008038949</v>
      </c>
      <c r="R223" s="81">
        <f>A153</f>
        <v>36</v>
      </c>
      <c r="S223" s="1">
        <v>1</v>
      </c>
    </row>
    <row r="224" spans="1:20" ht="14.25" x14ac:dyDescent="0.2">
      <c r="A224" s="23">
        <f>A173</f>
        <v>10</v>
      </c>
      <c r="B224" s="33" t="s">
        <v>229</v>
      </c>
      <c r="C224" s="25">
        <f>C173</f>
        <v>196</v>
      </c>
      <c r="D224" s="25">
        <f>D173</f>
        <v>179</v>
      </c>
      <c r="E224" s="25">
        <f>E173</f>
        <v>179</v>
      </c>
      <c r="F224" s="105">
        <f t="shared" si="46"/>
        <v>0</v>
      </c>
      <c r="G224" s="105">
        <f t="shared" si="42"/>
        <v>91.326530612244895</v>
      </c>
      <c r="H224" s="25">
        <f>H173</f>
        <v>1773</v>
      </c>
      <c r="I224" s="25"/>
      <c r="J224" s="25">
        <f>J173</f>
        <v>398969.65165781637</v>
      </c>
      <c r="K224" s="25">
        <f>K173</f>
        <v>271342</v>
      </c>
      <c r="L224" s="25">
        <f>L173</f>
        <v>272338</v>
      </c>
      <c r="M224" s="105">
        <f t="shared" si="43"/>
        <v>0.36706444265907967</v>
      </c>
      <c r="N224" s="105">
        <f t="shared" si="44"/>
        <v>68.260329794100642</v>
      </c>
      <c r="O224" s="25">
        <f>O173</f>
        <v>13618</v>
      </c>
      <c r="P224" s="25">
        <f>P173</f>
        <v>13666</v>
      </c>
      <c r="Q224" s="105">
        <f t="shared" si="45"/>
        <v>0.3524746658833896</v>
      </c>
      <c r="R224" s="81">
        <f>A172</f>
        <v>10</v>
      </c>
      <c r="S224" s="1">
        <v>1</v>
      </c>
    </row>
    <row r="225" spans="1:19" ht="14.25" x14ac:dyDescent="0.2">
      <c r="A225" s="23">
        <f>A183</f>
        <v>6</v>
      </c>
      <c r="B225" s="33" t="s">
        <v>230</v>
      </c>
      <c r="C225" s="25">
        <f>C183</f>
        <v>103</v>
      </c>
      <c r="D225" s="25">
        <f>D183</f>
        <v>94</v>
      </c>
      <c r="E225" s="25">
        <f>E183</f>
        <v>94</v>
      </c>
      <c r="F225" s="105">
        <f t="shared" si="46"/>
        <v>0</v>
      </c>
      <c r="G225" s="105">
        <f t="shared" si="42"/>
        <v>91.262135922330089</v>
      </c>
      <c r="H225" s="25">
        <f>H183</f>
        <v>486</v>
      </c>
      <c r="I225" s="25"/>
      <c r="J225" s="25">
        <f>J183</f>
        <v>108649.83396348439</v>
      </c>
      <c r="K225" s="25">
        <f>K183</f>
        <v>75781</v>
      </c>
      <c r="L225" s="25">
        <f>L183</f>
        <v>75781</v>
      </c>
      <c r="M225" s="105">
        <f t="shared" si="43"/>
        <v>0</v>
      </c>
      <c r="N225" s="105">
        <f t="shared" si="44"/>
        <v>69.747920669136846</v>
      </c>
      <c r="O225" s="25">
        <f>O183</f>
        <v>3384</v>
      </c>
      <c r="P225" s="25">
        <f>P183</f>
        <v>3384</v>
      </c>
      <c r="Q225" s="105">
        <f t="shared" si="45"/>
        <v>0</v>
      </c>
      <c r="R225" s="81">
        <f>A182</f>
        <v>7</v>
      </c>
      <c r="S225" s="1">
        <v>1</v>
      </c>
    </row>
    <row r="226" spans="1:19" thickBot="1" x14ac:dyDescent="0.25">
      <c r="A226" s="37">
        <f>A199</f>
        <v>5</v>
      </c>
      <c r="B226" s="147" t="s">
        <v>231</v>
      </c>
      <c r="C226" s="39">
        <f>C199</f>
        <v>190</v>
      </c>
      <c r="D226" s="39">
        <f>D199</f>
        <v>6</v>
      </c>
      <c r="E226" s="39">
        <f>E199</f>
        <v>6</v>
      </c>
      <c r="F226" s="139">
        <f t="shared" si="46"/>
        <v>0</v>
      </c>
      <c r="G226" s="139">
        <f t="shared" si="42"/>
        <v>3.1578947368421053</v>
      </c>
      <c r="H226" s="39">
        <f>H199</f>
        <v>0</v>
      </c>
      <c r="I226" s="39"/>
      <c r="J226" s="39">
        <f>J199</f>
        <v>343649.6738707067</v>
      </c>
      <c r="K226" s="39">
        <f>K199</f>
        <v>6406</v>
      </c>
      <c r="L226" s="39">
        <f>L199</f>
        <v>7447</v>
      </c>
      <c r="M226" s="139">
        <f t="shared" si="43"/>
        <v>16.250390259132065</v>
      </c>
      <c r="N226" s="139">
        <f t="shared" si="44"/>
        <v>2.1670324653943447</v>
      </c>
      <c r="O226" s="39">
        <f>O199</f>
        <v>259</v>
      </c>
      <c r="P226" s="39">
        <f>P199</f>
        <v>302</v>
      </c>
      <c r="Q226" s="139">
        <f t="shared" si="45"/>
        <v>16.602316602316602</v>
      </c>
      <c r="R226" s="90">
        <f>A198</f>
        <v>13</v>
      </c>
      <c r="S226" s="1">
        <v>1</v>
      </c>
    </row>
    <row r="227" spans="1:19" s="5" customFormat="1" ht="15.75" thickBot="1" x14ac:dyDescent="0.3">
      <c r="A227" s="155">
        <f>SUM(A219:A226)</f>
        <v>119</v>
      </c>
      <c r="B227" s="144" t="s">
        <v>218</v>
      </c>
      <c r="C227" s="57">
        <f>SUM(C219:C226)</f>
        <v>5565</v>
      </c>
      <c r="D227" s="57">
        <f>SUM(D219:D226)</f>
        <v>3547</v>
      </c>
      <c r="E227" s="57">
        <f>SUM(E219:E226)</f>
        <v>3549</v>
      </c>
      <c r="F227" s="156">
        <f t="shared" si="46"/>
        <v>5.6385678037778407E-2</v>
      </c>
      <c r="G227" s="156">
        <f t="shared" si="42"/>
        <v>63.773584905660378</v>
      </c>
      <c r="H227" s="57">
        <f>SUM(H219:H226)</f>
        <v>27644</v>
      </c>
      <c r="I227" s="57"/>
      <c r="J227" s="57">
        <f>SUM(J219:J226)</f>
        <v>12479974.528189642</v>
      </c>
      <c r="K227" s="57">
        <f>SUM(K219:K226)</f>
        <v>5390250</v>
      </c>
      <c r="L227" s="57">
        <f>SUM(L219:L226)</f>
        <v>5444378</v>
      </c>
      <c r="M227" s="156">
        <f t="shared" si="43"/>
        <v>1.0041834794304532</v>
      </c>
      <c r="N227" s="156">
        <f t="shared" si="44"/>
        <v>43.62491275685133</v>
      </c>
      <c r="O227" s="57">
        <f>SUM(O219:O226)</f>
        <v>325391</v>
      </c>
      <c r="P227" s="57">
        <f>SUM(P219:P226)</f>
        <v>328324</v>
      </c>
      <c r="Q227" s="156">
        <f t="shared" si="45"/>
        <v>0.9013771124585499</v>
      </c>
      <c r="R227" s="137">
        <f>SUM(R219:R226)</f>
        <v>144</v>
      </c>
      <c r="S227" s="1">
        <v>1</v>
      </c>
    </row>
    <row r="228" spans="1:19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9" x14ac:dyDescent="0.25">
      <c r="D229" s="9"/>
      <c r="E229" s="162"/>
      <c r="F229" s="9"/>
      <c r="G229" s="9"/>
      <c r="H229" s="9"/>
      <c r="I229" s="9"/>
      <c r="J229" s="4"/>
    </row>
    <row r="230" spans="1:19" x14ac:dyDescent="0.25">
      <c r="C230" s="9"/>
      <c r="D230" s="9"/>
      <c r="E230" s="9"/>
      <c r="F230" s="9"/>
      <c r="G230" s="9"/>
      <c r="H230" s="9"/>
      <c r="I230" s="9"/>
      <c r="J230" s="4"/>
    </row>
    <row r="231" spans="1:19" x14ac:dyDescent="0.25">
      <c r="B231" s="11"/>
      <c r="H231" s="3"/>
      <c r="I231" s="3"/>
    </row>
    <row r="232" spans="1:19" x14ac:dyDescent="0.25">
      <c r="H232" s="3"/>
      <c r="I232" s="3"/>
    </row>
    <row r="233" spans="1:19" x14ac:dyDescent="0.25">
      <c r="H233" s="3"/>
      <c r="I233" s="3"/>
    </row>
    <row r="234" spans="1:19" x14ac:dyDescent="0.25">
      <c r="H234" s="3"/>
      <c r="I234" s="3"/>
    </row>
    <row r="235" spans="1:19" x14ac:dyDescent="0.25">
      <c r="H235" s="3"/>
      <c r="I235" s="3"/>
    </row>
    <row r="236" spans="1:19" x14ac:dyDescent="0.25">
      <c r="H236" s="3"/>
      <c r="I236" s="3"/>
    </row>
    <row r="237" spans="1:19" x14ac:dyDescent="0.25">
      <c r="H237" s="3"/>
      <c r="I237" s="3"/>
    </row>
    <row r="238" spans="1:19" x14ac:dyDescent="0.25">
      <c r="H238" s="3"/>
      <c r="I238" s="3"/>
    </row>
    <row r="239" spans="1:19" x14ac:dyDescent="0.25">
      <c r="H239" s="3"/>
      <c r="I239" s="3"/>
    </row>
    <row r="240" spans="1:19" x14ac:dyDescent="0.25">
      <c r="H240" s="3"/>
      <c r="I240" s="3"/>
    </row>
    <row r="241" spans="8:13" x14ac:dyDescent="0.25">
      <c r="H241" s="3"/>
      <c r="I241" s="3"/>
    </row>
    <row r="242" spans="8:13" x14ac:dyDescent="0.25">
      <c r="H242" s="3"/>
      <c r="I242" s="3"/>
    </row>
    <row r="243" spans="8:13" x14ac:dyDescent="0.25">
      <c r="H243" s="3"/>
      <c r="I243" s="3"/>
    </row>
    <row r="244" spans="8:13" x14ac:dyDescent="0.25">
      <c r="H244" s="3"/>
      <c r="I244" s="3"/>
    </row>
    <row r="245" spans="8:13" x14ac:dyDescent="0.25">
      <c r="H245" s="3"/>
      <c r="I245" s="3"/>
    </row>
    <row r="246" spans="8:13" x14ac:dyDescent="0.25">
      <c r="H246" s="3"/>
      <c r="I246" s="3"/>
    </row>
    <row r="250" spans="8:13" x14ac:dyDescent="0.25">
      <c r="M250" s="28"/>
    </row>
    <row r="251" spans="8:13" x14ac:dyDescent="0.25">
      <c r="M251" s="28"/>
    </row>
    <row r="252" spans="8:13" x14ac:dyDescent="0.25">
      <c r="M252" s="28"/>
    </row>
    <row r="253" spans="8:13" x14ac:dyDescent="0.25">
      <c r="M253" s="28"/>
    </row>
    <row r="254" spans="8:13" x14ac:dyDescent="0.25">
      <c r="M254" s="28"/>
    </row>
    <row r="255" spans="8:13" x14ac:dyDescent="0.25">
      <c r="M255" s="28"/>
    </row>
    <row r="256" spans="8:13" x14ac:dyDescent="0.25">
      <c r="M256" s="28"/>
    </row>
    <row r="257" spans="13:13" x14ac:dyDescent="0.25">
      <c r="M257" s="28"/>
    </row>
    <row r="258" spans="13:13" x14ac:dyDescent="0.25">
      <c r="M258" s="28"/>
    </row>
  </sheetData>
  <autoFilter ref="A3:T227"/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3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3" max="16383" man="1"/>
    <brk id="154" max="16383" man="1"/>
    <brk id="183" max="16383" man="1"/>
    <brk id="201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7"/>
  <sheetViews>
    <sheetView tabSelected="1" view="pageBreakPreview" zoomScaleSheetLayoutView="100" workbookViewId="0">
      <pane xSplit="2" ySplit="3" topLeftCell="C27" activePane="bottomRight" state="frozen"/>
      <selection activeCell="G51" sqref="G51"/>
      <selection pane="topRight" activeCell="G51" sqref="G51"/>
      <selection pane="bottomLeft" activeCell="G51" sqref="G51"/>
      <selection pane="bottomRight" activeCell="M35" sqref="M35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68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 x14ac:dyDescent="0.25">
      <c r="A1" s="124" t="s">
        <v>281</v>
      </c>
      <c r="B1" s="61"/>
      <c r="C1" s="61"/>
      <c r="D1" s="76"/>
      <c r="E1" s="170"/>
      <c r="F1" s="76"/>
      <c r="G1" s="60"/>
      <c r="H1" s="60"/>
      <c r="I1" s="76"/>
      <c r="J1" s="76"/>
      <c r="K1" s="76"/>
      <c r="L1" s="76"/>
    </row>
    <row r="2" spans="1:29" s="77" customFormat="1" x14ac:dyDescent="0.2">
      <c r="A2" s="254" t="s">
        <v>0</v>
      </c>
      <c r="B2" s="255"/>
      <c r="C2" s="112" t="s">
        <v>1</v>
      </c>
      <c r="D2" s="112" t="s">
        <v>2</v>
      </c>
      <c r="E2" s="169" t="s">
        <v>3</v>
      </c>
      <c r="F2" s="169" t="s">
        <v>4</v>
      </c>
      <c r="G2" s="167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  <c r="M2" s="79" t="s">
        <v>17</v>
      </c>
      <c r="S2" s="176" t="s">
        <v>1</v>
      </c>
      <c r="T2" s="176" t="s">
        <v>2</v>
      </c>
      <c r="U2" s="176" t="s">
        <v>3</v>
      </c>
      <c r="V2" s="176" t="s">
        <v>4</v>
      </c>
      <c r="W2" s="167" t="s">
        <v>5</v>
      </c>
      <c r="X2" s="176" t="s">
        <v>6</v>
      </c>
      <c r="Y2" s="176" t="s">
        <v>7</v>
      </c>
      <c r="Z2" s="176" t="s">
        <v>8</v>
      </c>
      <c r="AA2" s="176" t="s">
        <v>9</v>
      </c>
      <c r="AB2" s="176" t="s">
        <v>10</v>
      </c>
      <c r="AC2" s="79" t="s">
        <v>17</v>
      </c>
    </row>
    <row r="3" spans="1:29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29" s="64" customFormat="1" x14ac:dyDescent="0.2">
      <c r="A4" s="256" t="s">
        <v>243</v>
      </c>
      <c r="B4" s="256"/>
      <c r="C4" s="78">
        <f>'1.RSP Districts '!A205</f>
        <v>8</v>
      </c>
      <c r="D4" s="78">
        <f>'1.RSP Districts '!A206</f>
        <v>7</v>
      </c>
      <c r="E4" s="165">
        <f>'1.RSP Districts '!A207</f>
        <v>14</v>
      </c>
      <c r="F4" s="165">
        <f>'1.RSP Districts '!A208</f>
        <v>3</v>
      </c>
      <c r="G4" s="78">
        <f>'1.RSP Districts '!A209</f>
        <v>52</v>
      </c>
      <c r="H4" s="78">
        <f>'1.RSP Districts '!A210</f>
        <v>21</v>
      </c>
      <c r="I4" s="78">
        <f>'1.RSP Districts '!A211</f>
        <v>1</v>
      </c>
      <c r="J4" s="78">
        <f>'1.RSP Districts '!A212</f>
        <v>9</v>
      </c>
      <c r="K4" s="78">
        <f>'1.RSP Districts '!A213</f>
        <v>25</v>
      </c>
      <c r="L4" s="78">
        <f>'1.RSP Districts '!A214</f>
        <v>4</v>
      </c>
      <c r="M4" s="78">
        <f>SUM(C4:L4)-25</f>
        <v>119</v>
      </c>
      <c r="N4" s="86"/>
      <c r="O4" s="69"/>
      <c r="R4" s="64" t="e">
        <f>G4-#REF!</f>
        <v>#REF!</v>
      </c>
      <c r="S4" s="64" t="e">
        <f>C4-#REF!</f>
        <v>#REF!</v>
      </c>
      <c r="T4" s="64" t="e">
        <f>D4-#REF!</f>
        <v>#REF!</v>
      </c>
      <c r="U4" s="64" t="e">
        <f>E4-#REF!</f>
        <v>#REF!</v>
      </c>
      <c r="V4" s="64" t="e">
        <f>F4-#REF!</f>
        <v>#REF!</v>
      </c>
      <c r="W4" s="64" t="e">
        <f>G4-#REF!</f>
        <v>#REF!</v>
      </c>
      <c r="X4" s="64" t="e">
        <f>H4-#REF!</f>
        <v>#REF!</v>
      </c>
      <c r="Y4" s="64" t="e">
        <f>I4-#REF!</f>
        <v>#REF!</v>
      </c>
      <c r="Z4" s="64" t="e">
        <f>J4-#REF!</f>
        <v>#REF!</v>
      </c>
      <c r="AA4" s="64" t="e">
        <f>K4-#REF!</f>
        <v>#REF!</v>
      </c>
      <c r="AB4" s="64" t="e">
        <f>L4-#REF!</f>
        <v>#REF!</v>
      </c>
      <c r="AC4" s="64" t="e">
        <f>M4-#REF!</f>
        <v>#REF!</v>
      </c>
    </row>
    <row r="5" spans="1:29" s="64" customFormat="1" x14ac:dyDescent="0.2">
      <c r="A5" s="257" t="s">
        <v>11</v>
      </c>
      <c r="B5" s="256"/>
      <c r="C5" s="78">
        <f>'1.RSP Districts '!E205</f>
        <v>136</v>
      </c>
      <c r="D5" s="143">
        <f>'1.RSP Districts '!E206</f>
        <v>118</v>
      </c>
      <c r="E5" s="171">
        <f>'1.RSP Districts '!E207</f>
        <v>204</v>
      </c>
      <c r="F5" s="165">
        <f>'1.RSP Districts '!E208</f>
        <v>22</v>
      </c>
      <c r="G5" s="143">
        <f>'1.RSP Districts '!E209</f>
        <v>1982</v>
      </c>
      <c r="H5" s="165">
        <f>'1.RSP Districts '!E210</f>
        <v>702</v>
      </c>
      <c r="I5" s="143">
        <f>'1.RSP Districts '!E211</f>
        <v>13</v>
      </c>
      <c r="J5" s="143">
        <f>'1.RSP Districts '!E212</f>
        <v>338</v>
      </c>
      <c r="K5" s="143">
        <f>'1.RSP Districts '!E213</f>
        <v>527</v>
      </c>
      <c r="L5" s="143">
        <f>'1.RSP Districts '!E214</f>
        <v>113</v>
      </c>
      <c r="M5" s="78">
        <f>SUM(C5:L5)-534</f>
        <v>3621</v>
      </c>
      <c r="N5" s="86"/>
      <c r="O5" s="69"/>
      <c r="R5" s="64" t="e">
        <f>G5-#REF!</f>
        <v>#REF!</v>
      </c>
      <c r="S5" s="64" t="e">
        <f>C5-#REF!</f>
        <v>#REF!</v>
      </c>
      <c r="T5" s="64" t="e">
        <f>D5-#REF!</f>
        <v>#REF!</v>
      </c>
      <c r="U5" s="64" t="e">
        <f>E5-#REF!</f>
        <v>#REF!</v>
      </c>
      <c r="V5" s="64" t="e">
        <f>F5-#REF!</f>
        <v>#REF!</v>
      </c>
      <c r="W5" s="64" t="e">
        <f>G5-#REF!</f>
        <v>#REF!</v>
      </c>
      <c r="X5" s="64" t="e">
        <f>H5-#REF!</f>
        <v>#REF!</v>
      </c>
      <c r="Y5" s="64" t="e">
        <f>I5-#REF!</f>
        <v>#REF!</v>
      </c>
      <c r="Z5" s="64" t="e">
        <f>J5-#REF!</f>
        <v>#REF!</v>
      </c>
      <c r="AA5" s="64" t="e">
        <f>K5-#REF!</f>
        <v>#REF!</v>
      </c>
      <c r="AB5" s="64" t="e">
        <f>L5-#REF!</f>
        <v>#REF!</v>
      </c>
      <c r="AC5" s="64" t="e">
        <f>M5-#REF!</f>
        <v>#REF!</v>
      </c>
    </row>
    <row r="6" spans="1:29" s="64" customFormat="1" x14ac:dyDescent="0.2">
      <c r="A6" s="257" t="s">
        <v>217</v>
      </c>
      <c r="B6" s="256"/>
      <c r="C6" s="78">
        <f>'1.RSP Districts '!L205</f>
        <v>102320</v>
      </c>
      <c r="D6" s="78">
        <f>'1.RSP Districts '!L206</f>
        <v>110695</v>
      </c>
      <c r="E6" s="165">
        <f>'1.RSP Districts '!L207</f>
        <v>188824</v>
      </c>
      <c r="F6" s="165">
        <f>'1.RSP Districts '!L208</f>
        <v>35879</v>
      </c>
      <c r="G6" s="78">
        <f>'1.RSP Districts '!L209</f>
        <v>2302313</v>
      </c>
      <c r="H6" s="165">
        <f>'1.RSP Districts '!L210</f>
        <v>1174038</v>
      </c>
      <c r="I6" s="78">
        <f>'1.RSP Districts '!L211</f>
        <v>16500</v>
      </c>
      <c r="J6" s="78">
        <f>'1.RSP Districts '!L212</f>
        <v>591729</v>
      </c>
      <c r="K6" s="78">
        <f>'1.RSP Districts '!L213</f>
        <v>655532</v>
      </c>
      <c r="L6" s="78">
        <f>'1.RSP Districts '!L214</f>
        <v>266548</v>
      </c>
      <c r="M6" s="78">
        <f>SUM(C6:L6)</f>
        <v>5444378</v>
      </c>
      <c r="N6" s="87">
        <f>M6/1000000</f>
        <v>5.4443780000000004</v>
      </c>
      <c r="O6" s="68">
        <f>N6*6.5</f>
        <v>35.388457000000002</v>
      </c>
      <c r="P6" s="64">
        <f>200+90+160+54</f>
        <v>504</v>
      </c>
      <c r="R6" s="64" t="e">
        <f>G6-#REF!</f>
        <v>#REF!</v>
      </c>
      <c r="S6" s="64" t="e">
        <f>C6-#REF!</f>
        <v>#REF!</v>
      </c>
      <c r="T6" s="64" t="e">
        <f>D6-#REF!</f>
        <v>#REF!</v>
      </c>
      <c r="U6" s="64" t="e">
        <f>E6-#REF!</f>
        <v>#REF!</v>
      </c>
      <c r="V6" s="64" t="e">
        <f>F6-#REF!</f>
        <v>#REF!</v>
      </c>
      <c r="W6" s="64" t="e">
        <f>G6-#REF!</f>
        <v>#REF!</v>
      </c>
      <c r="X6" s="64" t="e">
        <f>H6-#REF!</f>
        <v>#REF!</v>
      </c>
      <c r="Y6" s="64" t="e">
        <f>I6-#REF!</f>
        <v>#REF!</v>
      </c>
      <c r="Z6" s="64" t="e">
        <f>J6-#REF!</f>
        <v>#REF!</v>
      </c>
      <c r="AA6" s="64" t="e">
        <f>K6-#REF!</f>
        <v>#REF!</v>
      </c>
      <c r="AB6" s="64" t="e">
        <f>L6-#REF!</f>
        <v>#REF!</v>
      </c>
      <c r="AC6" s="64" t="e">
        <f>M6-#REF!</f>
        <v>#REF!</v>
      </c>
    </row>
    <row r="7" spans="1:29" s="64" customFormat="1" x14ac:dyDescent="0.2">
      <c r="A7" s="257" t="s">
        <v>12</v>
      </c>
      <c r="B7" s="256"/>
      <c r="C7" s="180">
        <v>33</v>
      </c>
      <c r="D7" s="180">
        <v>59</v>
      </c>
      <c r="E7" s="180">
        <v>44</v>
      </c>
      <c r="F7" s="180">
        <v>8</v>
      </c>
      <c r="G7" s="180">
        <v>483</v>
      </c>
      <c r="H7" s="180">
        <v>30</v>
      </c>
      <c r="I7" s="181">
        <v>1</v>
      </c>
      <c r="J7" s="180">
        <v>91</v>
      </c>
      <c r="K7" s="180">
        <v>75</v>
      </c>
      <c r="L7" s="180">
        <v>38</v>
      </c>
      <c r="M7" s="78">
        <f>SUM(C7:L7)</f>
        <v>862</v>
      </c>
      <c r="N7" s="86"/>
      <c r="O7" s="69"/>
      <c r="P7" s="64">
        <f>266298-265794</f>
        <v>504</v>
      </c>
      <c r="R7" s="64" t="e">
        <f>G7-#REF!</f>
        <v>#REF!</v>
      </c>
      <c r="S7" s="64" t="e">
        <f>C7-#REF!</f>
        <v>#REF!</v>
      </c>
      <c r="T7" s="64" t="e">
        <f>D7-#REF!</f>
        <v>#REF!</v>
      </c>
      <c r="U7" s="64" t="e">
        <f>E7-#REF!</f>
        <v>#REF!</v>
      </c>
      <c r="V7" s="64" t="e">
        <f>F7-#REF!</f>
        <v>#REF!</v>
      </c>
      <c r="W7" s="64" t="e">
        <f>G7-#REF!</f>
        <v>#REF!</v>
      </c>
      <c r="X7" s="64" t="e">
        <f>H7-#REF!</f>
        <v>#REF!</v>
      </c>
      <c r="Y7" s="64" t="e">
        <f>I7-#REF!</f>
        <v>#REF!</v>
      </c>
      <c r="Z7" s="64" t="e">
        <f>J7-#REF!</f>
        <v>#REF!</v>
      </c>
      <c r="AA7" s="64" t="e">
        <f>K7-#REF!</f>
        <v>#REF!</v>
      </c>
      <c r="AB7" s="64" t="e">
        <f>L7-#REF!</f>
        <v>#REF!</v>
      </c>
      <c r="AC7" s="64" t="e">
        <f>M7-#REF!</f>
        <v>#REF!</v>
      </c>
    </row>
    <row r="8" spans="1:29" s="64" customFormat="1" x14ac:dyDescent="0.2">
      <c r="A8" s="247" t="s">
        <v>13</v>
      </c>
      <c r="B8" s="114" t="s">
        <v>14</v>
      </c>
      <c r="C8" s="165">
        <f>'[14]2. Overall com progres June 13'!C8</f>
        <v>1577</v>
      </c>
      <c r="D8" s="165">
        <f>'[5]2. Overall com progres June 13'!D8</f>
        <v>2171</v>
      </c>
      <c r="E8" s="165">
        <f>'[15]2. Overall com progres Sep-13'!E8</f>
        <v>3471</v>
      </c>
      <c r="F8" s="165">
        <f>'[7]2. Overall com progres Sep-13'!F8</f>
        <v>1659</v>
      </c>
      <c r="G8" s="78">
        <f>'[2]2. Overall com progres Sep-13'!G8</f>
        <v>72450</v>
      </c>
      <c r="H8" s="178">
        <f>'[13]2. Overall com progres Sep-13'!H8</f>
        <v>29004</v>
      </c>
      <c r="I8" s="161">
        <f>'[14]2. Overall com progres June 13'!I8</f>
        <v>410</v>
      </c>
      <c r="J8" s="165">
        <f>'[11]2. Overall com progres Sep-13'!J8</f>
        <v>32866</v>
      </c>
      <c r="K8" s="165">
        <f>'[4]2. Overall com progres Sep-13'!K8</f>
        <v>9159</v>
      </c>
      <c r="L8" s="136">
        <f>'[9]2. Overall com progres Sep-13'!L8</f>
        <v>8559</v>
      </c>
      <c r="M8" s="78">
        <f>SUM(C8:L8)</f>
        <v>161326</v>
      </c>
      <c r="N8" s="87">
        <f>M8/M11%</f>
        <v>48.765049588450623</v>
      </c>
      <c r="O8" s="69"/>
      <c r="P8" s="64" t="s">
        <v>270</v>
      </c>
      <c r="R8" s="64" t="e">
        <f>G8-#REF!</f>
        <v>#REF!</v>
      </c>
      <c r="S8" s="64" t="e">
        <f>C8-#REF!</f>
        <v>#REF!</v>
      </c>
      <c r="T8" s="64" t="e">
        <f>D8-#REF!</f>
        <v>#REF!</v>
      </c>
      <c r="U8" s="64" t="e">
        <f>E8-#REF!</f>
        <v>#REF!</v>
      </c>
      <c r="V8" s="64" t="e">
        <f>F8-#REF!</f>
        <v>#REF!</v>
      </c>
      <c r="W8" s="64" t="e">
        <f>G8-#REF!</f>
        <v>#REF!</v>
      </c>
      <c r="X8" s="64" t="e">
        <f>H8-#REF!</f>
        <v>#REF!</v>
      </c>
      <c r="Y8" s="64" t="e">
        <f>I8-#REF!</f>
        <v>#REF!</v>
      </c>
      <c r="Z8" s="64" t="e">
        <f>J8-#REF!</f>
        <v>#REF!</v>
      </c>
      <c r="AA8" s="64" t="e">
        <f>K8-#REF!</f>
        <v>#REF!</v>
      </c>
      <c r="AB8" s="64" t="e">
        <f>L8-#REF!</f>
        <v>#REF!</v>
      </c>
      <c r="AC8" s="64" t="e">
        <f>M8-#REF!</f>
        <v>#REF!</v>
      </c>
    </row>
    <row r="9" spans="1:29" s="64" customFormat="1" x14ac:dyDescent="0.2">
      <c r="A9" s="247"/>
      <c r="B9" s="115" t="s">
        <v>15</v>
      </c>
      <c r="C9" s="165">
        <f>'[14]2. Overall com progres June 13'!C9</f>
        <v>2138</v>
      </c>
      <c r="D9" s="165">
        <f>'[5]2. Overall com progres June 13'!D9</f>
        <v>2893</v>
      </c>
      <c r="E9" s="165">
        <f>'[15]2. Overall com progres Sep-13'!E9</f>
        <v>7956</v>
      </c>
      <c r="F9" s="165">
        <f>'[7]2. Overall com progres Sep-13'!F9</f>
        <v>1383</v>
      </c>
      <c r="G9" s="165">
        <f>'[2]2. Overall com progres Sep-13'!G9</f>
        <v>73193</v>
      </c>
      <c r="H9" s="178">
        <f>'[13]2. Overall com progres Sep-13'!H9</f>
        <v>41206</v>
      </c>
      <c r="I9" s="161">
        <f>'[14]2. Overall com progres June 13'!I9</f>
        <v>450</v>
      </c>
      <c r="J9" s="165">
        <f>'[11]2. Overall com progres Sep-13'!J9</f>
        <v>4159</v>
      </c>
      <c r="K9" s="165">
        <f>'[4]2. Overall com progres Sep-13'!K9</f>
        <v>18181</v>
      </c>
      <c r="L9" s="136">
        <f>'[9]2. Overall com progres Sep-13'!L9</f>
        <v>5718</v>
      </c>
      <c r="M9" s="78">
        <f>SUM(C9:L9)</f>
        <v>157277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  <c r="S9" s="64" t="e">
        <f>C9-#REF!</f>
        <v>#REF!</v>
      </c>
      <c r="T9" s="64" t="e">
        <f>D9-#REF!</f>
        <v>#REF!</v>
      </c>
      <c r="U9" s="64" t="e">
        <f>E9-#REF!</f>
        <v>#REF!</v>
      </c>
      <c r="V9" s="64" t="e">
        <f>F9-#REF!</f>
        <v>#REF!</v>
      </c>
      <c r="W9" s="64" t="e">
        <f>G9-#REF!</f>
        <v>#REF!</v>
      </c>
      <c r="X9" s="64" t="e">
        <f>H9-#REF!</f>
        <v>#REF!</v>
      </c>
      <c r="Y9" s="64" t="e">
        <f>I9-#REF!</f>
        <v>#REF!</v>
      </c>
      <c r="Z9" s="64" t="e">
        <f>J9-#REF!</f>
        <v>#REF!</v>
      </c>
      <c r="AA9" s="64" t="e">
        <f>K9-#REF!</f>
        <v>#REF!</v>
      </c>
      <c r="AB9" s="64" t="e">
        <f>L9-#REF!</f>
        <v>#REF!</v>
      </c>
      <c r="AC9" s="64" t="e">
        <f>M9-#REF!</f>
        <v>#REF!</v>
      </c>
    </row>
    <row r="10" spans="1:29" s="64" customFormat="1" x14ac:dyDescent="0.2">
      <c r="A10" s="247"/>
      <c r="B10" s="115" t="s">
        <v>16</v>
      </c>
      <c r="C10" s="165">
        <f>'[14]2. Overall com progres June 13'!C10</f>
        <v>1035</v>
      </c>
      <c r="D10" s="165">
        <f>'[5]2. Overall com progres June 13'!D10</f>
        <v>0</v>
      </c>
      <c r="E10" s="165">
        <f>'[15]2. Overall com progres Sep-13'!E10</f>
        <v>54</v>
      </c>
      <c r="F10" s="165">
        <f>'[7]2. Overall com progres Sep-13'!F10</f>
        <v>0</v>
      </c>
      <c r="G10" s="165">
        <f>'[2]2. Overall com progres Sep-13'!G10</f>
        <v>9120</v>
      </c>
      <c r="H10" s="178">
        <f>'[13]2. Overall com progres Sep-13'!H10</f>
        <v>0</v>
      </c>
      <c r="I10" s="161">
        <f>'[14]2. Overall com progres June 13'!I10</f>
        <v>0</v>
      </c>
      <c r="J10" s="165">
        <f>'[11]2. Overall com progres Sep-13'!J10</f>
        <v>40</v>
      </c>
      <c r="K10" s="165">
        <f>'[4]2. Overall com progres Sep-13'!K10</f>
        <v>0</v>
      </c>
      <c r="L10" s="136">
        <f>'[9]2. Overall com progres Sep-13'!L10</f>
        <v>1971</v>
      </c>
      <c r="M10" s="78">
        <f>SUM(C10:L10)</f>
        <v>12220</v>
      </c>
      <c r="N10" s="86"/>
      <c r="O10" s="69"/>
      <c r="P10" s="64">
        <v>6</v>
      </c>
      <c r="Q10" s="64">
        <v>120</v>
      </c>
      <c r="R10" s="64" t="e">
        <f>G10-#REF!</f>
        <v>#REF!</v>
      </c>
      <c r="S10" s="64" t="e">
        <f>C10-#REF!</f>
        <v>#REF!</v>
      </c>
      <c r="T10" s="64" t="e">
        <f>D10-#REF!</f>
        <v>#REF!</v>
      </c>
      <c r="U10" s="64" t="e">
        <f>E10-#REF!</f>
        <v>#REF!</v>
      </c>
      <c r="V10" s="64" t="e">
        <f>F10-#REF!</f>
        <v>#REF!</v>
      </c>
      <c r="W10" s="64" t="e">
        <f>G10-#REF!</f>
        <v>#REF!</v>
      </c>
      <c r="X10" s="64" t="e">
        <f>H10-#REF!</f>
        <v>#REF!</v>
      </c>
      <c r="Y10" s="64" t="e">
        <f>I10-#REF!</f>
        <v>#REF!</v>
      </c>
      <c r="Z10" s="64" t="e">
        <f>J10-#REF!</f>
        <v>#REF!</v>
      </c>
      <c r="AA10" s="64" t="e">
        <f>K10-#REF!</f>
        <v>#REF!</v>
      </c>
      <c r="AB10" s="64" t="e">
        <f>L10-#REF!</f>
        <v>#REF!</v>
      </c>
      <c r="AC10" s="64" t="e">
        <f>M10-#REF!</f>
        <v>#REF!</v>
      </c>
    </row>
    <row r="11" spans="1:29" s="64" customFormat="1" x14ac:dyDescent="0.2">
      <c r="A11" s="247"/>
      <c r="B11" s="116" t="s">
        <v>17</v>
      </c>
      <c r="C11" s="104">
        <f>SUM(C8:C10)</f>
        <v>4750</v>
      </c>
      <c r="D11" s="166">
        <f t="shared" ref="D11:L11" si="0">SUM(D8:D10)</f>
        <v>5064</v>
      </c>
      <c r="E11" s="166">
        <f t="shared" si="0"/>
        <v>11481</v>
      </c>
      <c r="F11" s="166">
        <f t="shared" si="0"/>
        <v>3042</v>
      </c>
      <c r="G11" s="166">
        <f t="shared" si="0"/>
        <v>154763</v>
      </c>
      <c r="H11" s="166">
        <f t="shared" si="0"/>
        <v>70210</v>
      </c>
      <c r="I11" s="166">
        <f t="shared" si="0"/>
        <v>860</v>
      </c>
      <c r="J11" s="166">
        <f t="shared" si="0"/>
        <v>37065</v>
      </c>
      <c r="K11" s="166">
        <f t="shared" si="0"/>
        <v>27340</v>
      </c>
      <c r="L11" s="166">
        <f t="shared" si="0"/>
        <v>16248</v>
      </c>
      <c r="M11" s="104">
        <f>SUM(M8:M10)</f>
        <v>330823</v>
      </c>
      <c r="N11" s="86"/>
      <c r="O11" s="69">
        <f>L11-16178</f>
        <v>70</v>
      </c>
      <c r="P11" s="64">
        <v>2</v>
      </c>
      <c r="Q11" s="64">
        <v>40</v>
      </c>
      <c r="R11" s="64" t="e">
        <f>G11-#REF!</f>
        <v>#REF!</v>
      </c>
      <c r="S11" s="64" t="e">
        <f>C11-#REF!</f>
        <v>#REF!</v>
      </c>
      <c r="T11" s="64" t="e">
        <f>D11-#REF!</f>
        <v>#REF!</v>
      </c>
      <c r="U11" s="64" t="e">
        <f>E11-#REF!</f>
        <v>#REF!</v>
      </c>
      <c r="V11" s="64" t="e">
        <f>F11-#REF!</f>
        <v>#REF!</v>
      </c>
      <c r="W11" s="64" t="e">
        <f>G11-#REF!</f>
        <v>#REF!</v>
      </c>
      <c r="X11" s="64" t="e">
        <f>H11-#REF!</f>
        <v>#REF!</v>
      </c>
      <c r="Y11" s="64" t="e">
        <f>I11-#REF!</f>
        <v>#REF!</v>
      </c>
      <c r="Z11" s="64" t="e">
        <f>J11-#REF!</f>
        <v>#REF!</v>
      </c>
      <c r="AA11" s="64" t="e">
        <f>K11-#REF!</f>
        <v>#REF!</v>
      </c>
      <c r="AB11" s="64" t="e">
        <f>L11-#REF!</f>
        <v>#REF!</v>
      </c>
      <c r="AC11" s="64" t="e">
        <f>M11-#REF!</f>
        <v>#REF!</v>
      </c>
    </row>
    <row r="12" spans="1:29" s="64" customFormat="1" x14ac:dyDescent="0.2">
      <c r="A12" s="265" t="s">
        <v>18</v>
      </c>
      <c r="B12" s="114" t="s">
        <v>19</v>
      </c>
      <c r="C12" s="165">
        <f>'[14]2. Overall com progres June 13'!C12</f>
        <v>44063</v>
      </c>
      <c r="D12" s="165">
        <f>'[5]2. Overall com progres June 13'!D12</f>
        <v>84455</v>
      </c>
      <c r="E12" s="165">
        <f>'[15]2. Overall com progres Sep-13'!E12</f>
        <v>57821</v>
      </c>
      <c r="F12" s="165">
        <f>'[7]2. Overall com progres Sep-13'!F12</f>
        <v>27717</v>
      </c>
      <c r="G12" s="165">
        <f>'[2]2. Overall com progres Sep-13'!G12</f>
        <v>1257734</v>
      </c>
      <c r="H12" s="178">
        <f>'[13]2. Overall com progres Sep-13'!H12</f>
        <v>475512</v>
      </c>
      <c r="I12" s="161">
        <f>'[14]2. Overall com progres June 13'!I12</f>
        <v>10845</v>
      </c>
      <c r="J12" s="165">
        <f>'[11]2. Overall com progres Sep-13'!J12</f>
        <v>553067</v>
      </c>
      <c r="K12" s="165">
        <f>'[4]2. Overall com progres Sep-13'!K12</f>
        <v>209429</v>
      </c>
      <c r="L12" s="136">
        <f>'[9]2. Overall com progres Sep-13'!L12</f>
        <v>176158</v>
      </c>
      <c r="M12" s="78">
        <f>SUM(C12:L12)</f>
        <v>2896801</v>
      </c>
      <c r="N12" s="120">
        <f>M12/M14%</f>
        <v>51.526302542607283</v>
      </c>
      <c r="O12" s="69"/>
      <c r="Q12" s="64">
        <f>SUM(Q9:Q11)</f>
        <v>502</v>
      </c>
      <c r="R12" s="64" t="e">
        <f>G12-#REF!</f>
        <v>#REF!</v>
      </c>
      <c r="S12" s="64" t="e">
        <f>C12-#REF!</f>
        <v>#REF!</v>
      </c>
      <c r="T12" s="64" t="e">
        <f>D12-#REF!</f>
        <v>#REF!</v>
      </c>
      <c r="U12" s="64" t="e">
        <f>E12-#REF!</f>
        <v>#REF!</v>
      </c>
      <c r="V12" s="64" t="e">
        <f>F12-#REF!</f>
        <v>#REF!</v>
      </c>
      <c r="W12" s="64" t="e">
        <f>G12-#REF!</f>
        <v>#REF!</v>
      </c>
      <c r="X12" s="64" t="e">
        <f>H12-#REF!</f>
        <v>#REF!</v>
      </c>
      <c r="Y12" s="64" t="e">
        <f>I12-#REF!</f>
        <v>#REF!</v>
      </c>
      <c r="Z12" s="64" t="e">
        <f>J12-#REF!</f>
        <v>#REF!</v>
      </c>
      <c r="AA12" s="64" t="e">
        <f>K12-#REF!</f>
        <v>#REF!</v>
      </c>
      <c r="AB12" s="64" t="e">
        <f>L12-#REF!</f>
        <v>#REF!</v>
      </c>
      <c r="AC12" s="64" t="e">
        <f>M12-#REF!</f>
        <v>#REF!</v>
      </c>
    </row>
    <row r="13" spans="1:29" s="64" customFormat="1" x14ac:dyDescent="0.2">
      <c r="A13" s="265"/>
      <c r="B13" s="115" t="s">
        <v>20</v>
      </c>
      <c r="C13" s="165">
        <f>'[14]2. Overall com progres June 13'!C13</f>
        <v>58257</v>
      </c>
      <c r="D13" s="165">
        <f>'[5]2. Overall com progres June 13'!D13</f>
        <v>121509</v>
      </c>
      <c r="E13" s="165">
        <f>'[15]2. Overall com progres Sep-13'!E13</f>
        <v>131003</v>
      </c>
      <c r="F13" s="165">
        <f>'[7]2. Overall com progres Sep-13'!F13</f>
        <v>25687</v>
      </c>
      <c r="G13" s="165">
        <f>'[2]2. Overall com progres Sep-13'!G13</f>
        <v>1044579</v>
      </c>
      <c r="H13" s="178">
        <f>'[13]2. Overall com progres Sep-13'!H13</f>
        <v>708744</v>
      </c>
      <c r="I13" s="161">
        <f>'[14]2. Overall com progres June 13'!I13</f>
        <v>11348</v>
      </c>
      <c r="J13" s="165">
        <f>'[11]2. Overall com progres Sep-13'!J13</f>
        <v>38662</v>
      </c>
      <c r="K13" s="165">
        <f>'[4]2. Overall com progres Sep-13'!K13</f>
        <v>446103</v>
      </c>
      <c r="L13" s="136">
        <f>'[9]2. Overall com progres Sep-13'!L13</f>
        <v>139292</v>
      </c>
      <c r="M13" s="78">
        <f>SUM(C13:L13)</f>
        <v>2725184</v>
      </c>
      <c r="N13" s="86"/>
      <c r="O13" s="69"/>
      <c r="R13" s="64" t="e">
        <f>G13-#REF!</f>
        <v>#REF!</v>
      </c>
      <c r="S13" s="64" t="e">
        <f>C13-#REF!</f>
        <v>#REF!</v>
      </c>
      <c r="T13" s="64" t="e">
        <f>D13-#REF!</f>
        <v>#REF!</v>
      </c>
      <c r="U13" s="64" t="e">
        <f>E13-#REF!</f>
        <v>#REF!</v>
      </c>
      <c r="V13" s="64" t="e">
        <f>F13-#REF!</f>
        <v>#REF!</v>
      </c>
      <c r="W13" s="64" t="e">
        <f>G13-#REF!</f>
        <v>#REF!</v>
      </c>
      <c r="X13" s="64" t="e">
        <f>H13-#REF!</f>
        <v>#REF!</v>
      </c>
      <c r="Y13" s="64" t="e">
        <f>I13-#REF!</f>
        <v>#REF!</v>
      </c>
      <c r="Z13" s="64" t="e">
        <f>J13-#REF!</f>
        <v>#REF!</v>
      </c>
      <c r="AA13" s="64" t="e">
        <f>K13-#REF!</f>
        <v>#REF!</v>
      </c>
      <c r="AB13" s="64" t="e">
        <f>L13-#REF!</f>
        <v>#REF!</v>
      </c>
      <c r="AC13" s="64" t="e">
        <f>M13-#REF!</f>
        <v>#REF!</v>
      </c>
    </row>
    <row r="14" spans="1:29" s="64" customFormat="1" x14ac:dyDescent="0.2">
      <c r="A14" s="265"/>
      <c r="B14" s="117" t="s">
        <v>17</v>
      </c>
      <c r="C14" s="104">
        <f>SUM(C12:C13)</f>
        <v>102320</v>
      </c>
      <c r="D14" s="166">
        <f t="shared" ref="D14:L14" si="1">SUM(D12:D13)</f>
        <v>205964</v>
      </c>
      <c r="E14" s="166">
        <f t="shared" si="1"/>
        <v>188824</v>
      </c>
      <c r="F14" s="166">
        <f t="shared" si="1"/>
        <v>53404</v>
      </c>
      <c r="G14" s="166">
        <f t="shared" si="1"/>
        <v>2302313</v>
      </c>
      <c r="H14" s="166">
        <f t="shared" si="1"/>
        <v>1184256</v>
      </c>
      <c r="I14" s="166">
        <f t="shared" si="1"/>
        <v>22193</v>
      </c>
      <c r="J14" s="166">
        <f t="shared" si="1"/>
        <v>591729</v>
      </c>
      <c r="K14" s="166">
        <f t="shared" si="1"/>
        <v>655532</v>
      </c>
      <c r="L14" s="166">
        <f t="shared" si="1"/>
        <v>315450</v>
      </c>
      <c r="M14" s="104">
        <f t="shared" ref="M14" si="2">SUM(M12:M13)</f>
        <v>5621985</v>
      </c>
      <c r="N14" s="87">
        <f>M14/1000000</f>
        <v>5.6219849999999996</v>
      </c>
      <c r="O14" s="69">
        <f>L14-314221</f>
        <v>1229</v>
      </c>
      <c r="R14" s="64" t="e">
        <f>G14-#REF!</f>
        <v>#REF!</v>
      </c>
      <c r="S14" s="64" t="e">
        <f>C14-#REF!</f>
        <v>#REF!</v>
      </c>
      <c r="T14" s="64" t="e">
        <f>D14-#REF!</f>
        <v>#REF!</v>
      </c>
      <c r="U14" s="64" t="e">
        <f>E14-#REF!</f>
        <v>#REF!</v>
      </c>
      <c r="V14" s="64" t="e">
        <f>F14-#REF!</f>
        <v>#REF!</v>
      </c>
      <c r="W14" s="64" t="e">
        <f>G14-#REF!</f>
        <v>#REF!</v>
      </c>
      <c r="X14" s="64" t="e">
        <f>H14-#REF!</f>
        <v>#REF!</v>
      </c>
      <c r="Y14" s="64" t="e">
        <f>I14-#REF!</f>
        <v>#REF!</v>
      </c>
      <c r="Z14" s="64" t="e">
        <f>J14-#REF!</f>
        <v>#REF!</v>
      </c>
      <c r="AA14" s="64" t="e">
        <f>K14-#REF!</f>
        <v>#REF!</v>
      </c>
      <c r="AB14" s="64" t="e">
        <f>L14-#REF!</f>
        <v>#REF!</v>
      </c>
      <c r="AC14" s="64" t="e">
        <f>M14-#REF!</f>
        <v>#REF!</v>
      </c>
    </row>
    <row r="15" spans="1:29" s="68" customFormat="1" x14ac:dyDescent="0.2">
      <c r="A15" s="266" t="s">
        <v>246</v>
      </c>
      <c r="B15" s="118" t="s">
        <v>19</v>
      </c>
      <c r="C15" s="165">
        <f>'[14]2. Overall com progres June 13'!C15</f>
        <v>24.064</v>
      </c>
      <c r="D15" s="165">
        <f>'[5]2. Overall com progres June 13'!D15</f>
        <v>129.43899999999999</v>
      </c>
      <c r="E15" s="165">
        <f>'[15]2. Overall com progres Sep-13'!E15</f>
        <v>5.45</v>
      </c>
      <c r="F15" s="165">
        <f>'[7]2. Overall com progres Sep-13'!F15/1000000</f>
        <v>4.2780930000000001</v>
      </c>
      <c r="G15" s="165">
        <f>'[2]2. Overall com progres Sep-13'!G15</f>
        <v>227.17</v>
      </c>
      <c r="H15" s="178">
        <f>'[13]2. Overall com progres Sep-13'!H15</f>
        <v>68.251999999999995</v>
      </c>
      <c r="I15" s="161">
        <f>'[14]2. Overall com progres June 13'!I15</f>
        <v>0</v>
      </c>
      <c r="J15" s="165">
        <f>'[11]2. Overall com progres Sep-13'!J15</f>
        <v>110</v>
      </c>
      <c r="K15" s="165">
        <f>'[4]2. Overall com progres Sep-13'!K15</f>
        <v>38</v>
      </c>
      <c r="L15" s="136">
        <f>'[9]2. Overall com progres Sep-13'!L15</f>
        <v>81.785210000000006</v>
      </c>
      <c r="M15" s="78">
        <f>SUM(C15:L15)</f>
        <v>688.43830299999991</v>
      </c>
      <c r="N15" s="86"/>
      <c r="O15" s="69"/>
      <c r="P15" s="68">
        <v>742335</v>
      </c>
      <c r="R15" s="64" t="e">
        <f>G15-#REF!</f>
        <v>#REF!</v>
      </c>
      <c r="S15" s="64" t="e">
        <f>C15-#REF!</f>
        <v>#REF!</v>
      </c>
      <c r="T15" s="64" t="e">
        <f>D15-#REF!</f>
        <v>#REF!</v>
      </c>
      <c r="U15" s="64" t="e">
        <f>E15-#REF!</f>
        <v>#REF!</v>
      </c>
      <c r="V15" s="64" t="e">
        <f>F15-#REF!</f>
        <v>#REF!</v>
      </c>
      <c r="W15" s="64" t="e">
        <f>G15-#REF!</f>
        <v>#REF!</v>
      </c>
      <c r="X15" s="64" t="e">
        <f>H15-#REF!</f>
        <v>#REF!</v>
      </c>
      <c r="Y15" s="64" t="e">
        <f>I15-#REF!</f>
        <v>#REF!</v>
      </c>
      <c r="Z15" s="64" t="e">
        <f>J15-#REF!</f>
        <v>#REF!</v>
      </c>
      <c r="AA15" s="64" t="e">
        <f>K15-#REF!</f>
        <v>#REF!</v>
      </c>
      <c r="AB15" s="64" t="e">
        <f>L15-#REF!</f>
        <v>#REF!</v>
      </c>
      <c r="AC15" s="64" t="e">
        <f>M15-#REF!</f>
        <v>#REF!</v>
      </c>
    </row>
    <row r="16" spans="1:29" s="68" customFormat="1" x14ac:dyDescent="0.2">
      <c r="A16" s="266"/>
      <c r="B16" s="111" t="s">
        <v>20</v>
      </c>
      <c r="C16" s="165">
        <f>'[14]2. Overall com progres June 13'!C16</f>
        <v>11.851000000000001</v>
      </c>
      <c r="D16" s="165">
        <f>'[5]2. Overall com progres June 13'!D16</f>
        <v>371.08199999999999</v>
      </c>
      <c r="E16" s="165">
        <f>'[15]2. Overall com progres Sep-13'!E16</f>
        <v>8.7799999999999994</v>
      </c>
      <c r="F16" s="165">
        <f>'[7]2. Overall com progres Sep-13'!F16/1000000</f>
        <v>5.1551920000000004</v>
      </c>
      <c r="G16" s="165">
        <f>'[2]2. Overall com progres Sep-13'!G16</f>
        <v>1130.6099999999999</v>
      </c>
      <c r="H16" s="178">
        <f>'[13]2. Overall com progres Sep-13'!H16</f>
        <v>72.045000000000002</v>
      </c>
      <c r="I16" s="161">
        <f>'[14]2. Overall com progres June 13'!I16</f>
        <v>1</v>
      </c>
      <c r="J16" s="165">
        <f>'[11]2. Overall com progres Sep-13'!J16</f>
        <v>7</v>
      </c>
      <c r="K16" s="165">
        <f>'[4]2. Overall com progres Sep-13'!K16</f>
        <v>96</v>
      </c>
      <c r="L16" s="136">
        <f>'[9]2. Overall com progres Sep-13'!L16</f>
        <v>119.970775</v>
      </c>
      <c r="M16" s="78">
        <f>SUM(C16:L16)</f>
        <v>1823.4939669999999</v>
      </c>
      <c r="N16" s="86"/>
      <c r="O16" s="69"/>
      <c r="P16" s="68">
        <f>P15/1000000</f>
        <v>0.74233499999999997</v>
      </c>
      <c r="R16" s="64" t="e">
        <f>G16-#REF!</f>
        <v>#REF!</v>
      </c>
      <c r="S16" s="64" t="e">
        <f>C16-#REF!</f>
        <v>#REF!</v>
      </c>
      <c r="T16" s="64" t="e">
        <f>D16-#REF!</f>
        <v>#REF!</v>
      </c>
      <c r="U16" s="64" t="e">
        <f>E16-#REF!</f>
        <v>#REF!</v>
      </c>
      <c r="V16" s="64" t="e">
        <f>F16-#REF!</f>
        <v>#REF!</v>
      </c>
      <c r="W16" s="64" t="e">
        <f>G16-#REF!</f>
        <v>#REF!</v>
      </c>
      <c r="X16" s="64" t="e">
        <f>H16-#REF!</f>
        <v>#REF!</v>
      </c>
      <c r="Y16" s="64" t="e">
        <f>I16-#REF!</f>
        <v>#REF!</v>
      </c>
      <c r="Z16" s="64" t="e">
        <f>J16-#REF!</f>
        <v>#REF!</v>
      </c>
      <c r="AA16" s="64" t="e">
        <f>K16-#REF!</f>
        <v>#REF!</v>
      </c>
      <c r="AB16" s="64" t="e">
        <f>L16-#REF!</f>
        <v>#REF!</v>
      </c>
      <c r="AC16" s="64" t="e">
        <f>M16-#REF!</f>
        <v>#REF!</v>
      </c>
    </row>
    <row r="17" spans="1:29" s="68" customFormat="1" x14ac:dyDescent="0.2">
      <c r="A17" s="266"/>
      <c r="B17" s="117" t="s">
        <v>17</v>
      </c>
      <c r="C17" s="166">
        <f>SUM(C15:C16)</f>
        <v>35.914999999999999</v>
      </c>
      <c r="D17" s="166">
        <f t="shared" ref="D17:L17" si="3">SUM(D15:D16)</f>
        <v>500.52099999999996</v>
      </c>
      <c r="E17" s="166">
        <f t="shared" si="3"/>
        <v>14.23</v>
      </c>
      <c r="F17" s="166">
        <f t="shared" si="3"/>
        <v>9.4332850000000015</v>
      </c>
      <c r="G17" s="166">
        <f t="shared" si="3"/>
        <v>1357.78</v>
      </c>
      <c r="H17" s="166">
        <f t="shared" si="3"/>
        <v>140.297</v>
      </c>
      <c r="I17" s="166">
        <f t="shared" si="3"/>
        <v>1</v>
      </c>
      <c r="J17" s="166">
        <f t="shared" si="3"/>
        <v>117</v>
      </c>
      <c r="K17" s="166">
        <f t="shared" si="3"/>
        <v>134</v>
      </c>
      <c r="L17" s="175">
        <f t="shared" si="3"/>
        <v>201.75598500000001</v>
      </c>
      <c r="M17" s="104">
        <f t="shared" ref="M17" si="4">SUM(M15:M16)</f>
        <v>2511.9322699999998</v>
      </c>
      <c r="N17" s="86"/>
      <c r="O17" s="69"/>
      <c r="R17" s="64" t="e">
        <f>G17-#REF!</f>
        <v>#REF!</v>
      </c>
      <c r="S17" s="64" t="e">
        <f>C17-#REF!</f>
        <v>#REF!</v>
      </c>
      <c r="T17" s="64" t="e">
        <f>D17-#REF!</f>
        <v>#REF!</v>
      </c>
      <c r="U17" s="64" t="e">
        <f>E17-#REF!</f>
        <v>#REF!</v>
      </c>
      <c r="V17" s="64" t="e">
        <f>F17-#REF!</f>
        <v>#REF!</v>
      </c>
      <c r="W17" s="64" t="e">
        <f>G17-#REF!</f>
        <v>#REF!</v>
      </c>
      <c r="X17" s="64" t="e">
        <f>H17-#REF!</f>
        <v>#REF!</v>
      </c>
      <c r="Y17" s="64" t="e">
        <f>I17-#REF!</f>
        <v>#REF!</v>
      </c>
      <c r="Z17" s="64" t="e">
        <f>J17-#REF!</f>
        <v>#REF!</v>
      </c>
      <c r="AA17" s="64" t="e">
        <f>K17-#REF!</f>
        <v>#REF!</v>
      </c>
      <c r="AB17" s="64" t="e">
        <f>L17-#REF!</f>
        <v>#REF!</v>
      </c>
      <c r="AC17" s="64" t="e">
        <f>M17-#REF!</f>
        <v>#REF!</v>
      </c>
    </row>
    <row r="18" spans="1:29" s="64" customFormat="1" x14ac:dyDescent="0.2">
      <c r="A18" s="247" t="s">
        <v>21</v>
      </c>
      <c r="B18" s="114" t="s">
        <v>19</v>
      </c>
      <c r="C18" s="165">
        <f>'[14]2. Overall com progres June 13'!C18</f>
        <v>10954</v>
      </c>
      <c r="D18" s="165">
        <f>'[5]2. Overall com progres June 13'!D18</f>
        <v>58754</v>
      </c>
      <c r="E18" s="165">
        <f>'[15]2. Overall com progres Sep-13'!E18</f>
        <v>47681</v>
      </c>
      <c r="F18" s="165">
        <f>'[7]2. Overall com progres Sep-13'!F18</f>
        <v>11870</v>
      </c>
      <c r="G18" s="165">
        <f>'[2]2. Overall com progres Sep-13'!G18</f>
        <v>1143253</v>
      </c>
      <c r="H18" s="178">
        <f>'[13]2. Overall com progres Sep-13'!H18</f>
        <v>142974</v>
      </c>
      <c r="I18" s="161">
        <f>'[14]2. Overall com progres June 13'!I18</f>
        <v>4830</v>
      </c>
      <c r="J18" s="165">
        <f>'[11]2. Overall com progres Sep-13'!J18</f>
        <v>226840</v>
      </c>
      <c r="K18" s="165">
        <f>'[4]2. Overall com progres Sep-13'!K18</f>
        <v>57095</v>
      </c>
      <c r="L18" s="136">
        <f>'[9]2. Overall com progres Sep-13'!L18</f>
        <v>94309</v>
      </c>
      <c r="M18" s="78">
        <f>SUM(C18:L18)</f>
        <v>1798560</v>
      </c>
      <c r="N18" s="68">
        <f>M18/1000000</f>
        <v>1.7985599999999999</v>
      </c>
      <c r="O18" s="68">
        <f>M18/M20%</f>
        <v>52.417767179616014</v>
      </c>
      <c r="R18" s="64" t="e">
        <f>G18-#REF!</f>
        <v>#REF!</v>
      </c>
      <c r="S18" s="64" t="e">
        <f>C18-#REF!</f>
        <v>#REF!</v>
      </c>
      <c r="T18" s="64" t="e">
        <f>D18-#REF!</f>
        <v>#REF!</v>
      </c>
      <c r="U18" s="64" t="e">
        <f>E18-#REF!</f>
        <v>#REF!</v>
      </c>
      <c r="V18" s="64" t="e">
        <f>F18-#REF!</f>
        <v>#REF!</v>
      </c>
      <c r="W18" s="64" t="e">
        <f>G18-#REF!</f>
        <v>#REF!</v>
      </c>
      <c r="X18" s="64" t="e">
        <f>H18-#REF!</f>
        <v>#REF!</v>
      </c>
      <c r="Y18" s="64" t="e">
        <f>I18-#REF!</f>
        <v>#REF!</v>
      </c>
      <c r="Z18" s="64" t="e">
        <f>J18-#REF!</f>
        <v>#REF!</v>
      </c>
      <c r="AA18" s="64" t="e">
        <f>K18-#REF!</f>
        <v>#REF!</v>
      </c>
      <c r="AB18" s="64" t="e">
        <f>L18-#REF!</f>
        <v>#REF!</v>
      </c>
      <c r="AC18" s="64" t="e">
        <f>M18-#REF!</f>
        <v>#REF!</v>
      </c>
    </row>
    <row r="19" spans="1:29" s="64" customFormat="1" x14ac:dyDescent="0.2">
      <c r="A19" s="247"/>
      <c r="B19" s="115" t="s">
        <v>20</v>
      </c>
      <c r="C19" s="165">
        <f>'[14]2. Overall com progres June 13'!C19</f>
        <v>6385</v>
      </c>
      <c r="D19" s="165">
        <f>'[5]2. Overall com progres June 13'!D19</f>
        <v>27804</v>
      </c>
      <c r="E19" s="165">
        <f>'[15]2. Overall com progres Sep-13'!E19</f>
        <v>112479</v>
      </c>
      <c r="F19" s="165">
        <f>'[7]2. Overall com progres Sep-13'!F19</f>
        <v>4035</v>
      </c>
      <c r="G19" s="165">
        <f>'[2]2. Overall com progres Sep-13'!G19</f>
        <v>960018</v>
      </c>
      <c r="H19" s="178">
        <f>'[13]2. Overall com progres Sep-13'!H19</f>
        <v>325516</v>
      </c>
      <c r="I19" s="161">
        <f>'[14]2. Overall com progres June 13'!I19</f>
        <v>4825</v>
      </c>
      <c r="J19" s="165">
        <f>'[11]2. Overall com progres Sep-13'!J19</f>
        <v>13129</v>
      </c>
      <c r="K19" s="165">
        <f>'[4]2. Overall com progres Sep-13'!K19</f>
        <v>87178</v>
      </c>
      <c r="L19" s="136">
        <f>'[9]2. Overall com progres Sep-13'!L19</f>
        <v>91274</v>
      </c>
      <c r="M19" s="78">
        <f>SUM(C19:L19)</f>
        <v>1632643</v>
      </c>
      <c r="N19" s="86"/>
      <c r="O19" s="69"/>
      <c r="R19" s="64" t="e">
        <f>G19-#REF!</f>
        <v>#REF!</v>
      </c>
      <c r="S19" s="64" t="e">
        <f>C19-#REF!</f>
        <v>#REF!</v>
      </c>
      <c r="T19" s="64" t="e">
        <f>D19-#REF!</f>
        <v>#REF!</v>
      </c>
      <c r="U19" s="64" t="e">
        <f>E19-#REF!</f>
        <v>#REF!</v>
      </c>
      <c r="V19" s="64" t="e">
        <f>F19-#REF!</f>
        <v>#REF!</v>
      </c>
      <c r="W19" s="64" t="e">
        <f>G19-#REF!</f>
        <v>#REF!</v>
      </c>
      <c r="X19" s="64" t="e">
        <f>H19-#REF!</f>
        <v>#REF!</v>
      </c>
      <c r="Y19" s="64" t="e">
        <f>I19-#REF!</f>
        <v>#REF!</v>
      </c>
      <c r="Z19" s="64" t="e">
        <f>J19-#REF!</f>
        <v>#REF!</v>
      </c>
      <c r="AA19" s="64" t="e">
        <f>K19-#REF!</f>
        <v>#REF!</v>
      </c>
      <c r="AB19" s="64" t="e">
        <f>L19-#REF!</f>
        <v>#REF!</v>
      </c>
      <c r="AC19" s="64" t="e">
        <f>M19-#REF!</f>
        <v>#REF!</v>
      </c>
    </row>
    <row r="20" spans="1:29" s="64" customFormat="1" x14ac:dyDescent="0.2">
      <c r="A20" s="247"/>
      <c r="B20" s="116" t="s">
        <v>17</v>
      </c>
      <c r="C20" s="104">
        <f>SUM(C18:C19)</f>
        <v>17339</v>
      </c>
      <c r="D20" s="166">
        <f t="shared" ref="D20:L20" si="5">SUM(D18:D19)</f>
        <v>86558</v>
      </c>
      <c r="E20" s="166">
        <f t="shared" si="5"/>
        <v>160160</v>
      </c>
      <c r="F20" s="166">
        <f t="shared" si="5"/>
        <v>15905</v>
      </c>
      <c r="G20" s="166">
        <f t="shared" si="5"/>
        <v>2103271</v>
      </c>
      <c r="H20" s="166">
        <f t="shared" si="5"/>
        <v>468490</v>
      </c>
      <c r="I20" s="166">
        <f t="shared" si="5"/>
        <v>9655</v>
      </c>
      <c r="J20" s="166">
        <f t="shared" si="5"/>
        <v>239969</v>
      </c>
      <c r="K20" s="166">
        <f t="shared" si="5"/>
        <v>144273</v>
      </c>
      <c r="L20" s="166">
        <f t="shared" si="5"/>
        <v>185583</v>
      </c>
      <c r="M20" s="104">
        <f t="shared" ref="M20" si="6">SUM(M18:M19)</f>
        <v>3431203</v>
      </c>
      <c r="N20" s="68">
        <f>M20/1000000</f>
        <v>3.431203</v>
      </c>
      <c r="O20" s="69"/>
      <c r="R20" s="64" t="e">
        <f>G20-#REF!</f>
        <v>#REF!</v>
      </c>
      <c r="S20" s="64" t="e">
        <f>C20-#REF!</f>
        <v>#REF!</v>
      </c>
      <c r="T20" s="64" t="e">
        <f>D20-#REF!</f>
        <v>#REF!</v>
      </c>
      <c r="U20" s="64" t="e">
        <f>E20-#REF!</f>
        <v>#REF!</v>
      </c>
      <c r="V20" s="64" t="e">
        <f>F20-#REF!</f>
        <v>#REF!</v>
      </c>
      <c r="W20" s="64" t="e">
        <f>G20-#REF!</f>
        <v>#REF!</v>
      </c>
      <c r="X20" s="64" t="e">
        <f>H20-#REF!</f>
        <v>#REF!</v>
      </c>
      <c r="Y20" s="64" t="e">
        <f>I20-#REF!</f>
        <v>#REF!</v>
      </c>
      <c r="Z20" s="64" t="e">
        <f>J20-#REF!</f>
        <v>#REF!</v>
      </c>
      <c r="AA20" s="64" t="e">
        <f>K20-#REF!</f>
        <v>#REF!</v>
      </c>
      <c r="AB20" s="64" t="e">
        <f>L20-#REF!</f>
        <v>#REF!</v>
      </c>
      <c r="AC20" s="64" t="e">
        <f>M20-#REF!</f>
        <v>#REF!</v>
      </c>
    </row>
    <row r="21" spans="1:29" s="64" customFormat="1" x14ac:dyDescent="0.2">
      <c r="A21" s="243" t="s">
        <v>223</v>
      </c>
      <c r="B21" s="115" t="s">
        <v>220</v>
      </c>
      <c r="C21" s="165">
        <f>'[14]2. Overall com progres June 13'!C21</f>
        <v>6</v>
      </c>
      <c r="D21" s="165">
        <f>'[5]2. Overall com progres June 13'!D21</f>
        <v>12</v>
      </c>
      <c r="E21" s="165">
        <f>'[15]2. Overall com progres Sep-13'!E21</f>
        <v>2</v>
      </c>
      <c r="F21" s="165">
        <f>'[7]2. Overall com progres Sep-13'!F21</f>
        <v>2</v>
      </c>
      <c r="G21" s="165">
        <f>'[2]2. Overall com progres Sep-13'!G21</f>
        <v>173</v>
      </c>
      <c r="H21" s="178">
        <f>'[13]2. Overall com progres Sep-13'!H21</f>
        <v>2</v>
      </c>
      <c r="I21" s="161">
        <f>'[14]2. Overall com progres June 13'!I21</f>
        <v>0</v>
      </c>
      <c r="J21" s="165">
        <f>'[11]2. Overall com progres Sep-13'!J21</f>
        <v>17</v>
      </c>
      <c r="K21" s="165">
        <f>'[4]2. Overall com progres Sep-13'!K21</f>
        <v>0</v>
      </c>
      <c r="L21" s="136">
        <f>'[9]2. Overall com progres Sep-13'!L21</f>
        <v>8</v>
      </c>
      <c r="M21" s="78">
        <f t="shared" ref="M21:M26" si="7">SUM(C21:L21)</f>
        <v>222</v>
      </c>
      <c r="N21" s="86"/>
      <c r="O21" s="69"/>
      <c r="R21" s="64" t="e">
        <f>G21-#REF!</f>
        <v>#REF!</v>
      </c>
      <c r="S21" s="64" t="e">
        <f>C21-#REF!</f>
        <v>#REF!</v>
      </c>
      <c r="T21" s="64" t="e">
        <f>D21-#REF!</f>
        <v>#REF!</v>
      </c>
      <c r="U21" s="64" t="e">
        <f>E21-#REF!</f>
        <v>#REF!</v>
      </c>
      <c r="V21" s="64" t="e">
        <f>F21-#REF!</f>
        <v>#REF!</v>
      </c>
      <c r="W21" s="64" t="e">
        <f>G21-#REF!</f>
        <v>#REF!</v>
      </c>
      <c r="X21" s="64" t="e">
        <f>H21-#REF!</f>
        <v>#REF!</v>
      </c>
      <c r="Y21" s="64" t="e">
        <f>I21-#REF!</f>
        <v>#REF!</v>
      </c>
      <c r="Z21" s="64" t="e">
        <f>J21-#REF!</f>
        <v>#REF!</v>
      </c>
      <c r="AA21" s="64" t="e">
        <f>K21-#REF!</f>
        <v>#REF!</v>
      </c>
      <c r="AB21" s="64" t="e">
        <f>L21-#REF!</f>
        <v>#REF!</v>
      </c>
      <c r="AC21" s="64" t="e">
        <f>M21-#REF!</f>
        <v>#REF!</v>
      </c>
    </row>
    <row r="22" spans="1:29" s="64" customFormat="1" x14ac:dyDescent="0.2">
      <c r="A22" s="244"/>
      <c r="B22" s="115" t="s">
        <v>221</v>
      </c>
      <c r="C22" s="165">
        <f>'[14]2. Overall com progres June 13'!C22</f>
        <v>0</v>
      </c>
      <c r="D22" s="165">
        <f>'[5]2. Overall com progres June 13'!D22</f>
        <v>0</v>
      </c>
      <c r="E22" s="165">
        <f>'[15]2. Overall com progres Sep-13'!E22</f>
        <v>0</v>
      </c>
      <c r="F22" s="165">
        <f>'[7]2. Overall com progres Sep-13'!F22</f>
        <v>5</v>
      </c>
      <c r="G22" s="165">
        <f>'[2]2. Overall com progres Sep-13'!G22</f>
        <v>66</v>
      </c>
      <c r="H22" s="178">
        <f>'[13]2. Overall com progres Sep-13'!H22</f>
        <v>33</v>
      </c>
      <c r="I22" s="161">
        <f>'[14]2. Overall com progres June 13'!I22</f>
        <v>0</v>
      </c>
      <c r="J22" s="165">
        <f>'[11]2. Overall com progres Sep-13'!J22</f>
        <v>3528</v>
      </c>
      <c r="K22" s="165">
        <f>'[4]2. Overall com progres Sep-13'!K22</f>
        <v>291</v>
      </c>
      <c r="L22" s="136">
        <f>'[9]2. Overall com progres Sep-13'!L22</f>
        <v>1307</v>
      </c>
      <c r="M22" s="78">
        <f t="shared" si="7"/>
        <v>5230</v>
      </c>
      <c r="N22" s="86"/>
      <c r="O22" s="69"/>
      <c r="R22" s="64" t="e">
        <f>G22-#REF!</f>
        <v>#REF!</v>
      </c>
      <c r="S22" s="64" t="e">
        <f>C22-#REF!</f>
        <v>#REF!</v>
      </c>
      <c r="T22" s="64" t="e">
        <f>D22-#REF!</f>
        <v>#REF!</v>
      </c>
      <c r="U22" s="64" t="e">
        <f>E22-#REF!</f>
        <v>#REF!</v>
      </c>
      <c r="V22" s="64" t="e">
        <f>F22-#REF!</f>
        <v>#REF!</v>
      </c>
      <c r="W22" s="64" t="e">
        <f>G22-#REF!</f>
        <v>#REF!</v>
      </c>
      <c r="X22" s="64" t="e">
        <f>H22-#REF!</f>
        <v>#REF!</v>
      </c>
      <c r="Y22" s="64" t="e">
        <f>I22-#REF!</f>
        <v>#REF!</v>
      </c>
      <c r="Z22" s="64" t="e">
        <f>J22-#REF!</f>
        <v>#REF!</v>
      </c>
      <c r="AA22" s="64" t="e">
        <f>K22-#REF!</f>
        <v>#REF!</v>
      </c>
      <c r="AB22" s="64" t="e">
        <f>L22-#REF!</f>
        <v>#REF!</v>
      </c>
      <c r="AC22" s="64" t="e">
        <f>M22-#REF!</f>
        <v>#REF!</v>
      </c>
    </row>
    <row r="23" spans="1:29" s="64" customFormat="1" x14ac:dyDescent="0.2">
      <c r="A23" s="244"/>
      <c r="B23" s="115" t="s">
        <v>222</v>
      </c>
      <c r="C23" s="165">
        <f>'[14]2. Overall com progres June 13'!C23</f>
        <v>1094</v>
      </c>
      <c r="D23" s="165">
        <f>'[5]2. Overall com progres June 13'!D23</f>
        <v>2055</v>
      </c>
      <c r="E23" s="165">
        <f>'[15]2. Overall com progres Sep-13'!E23</f>
        <v>20</v>
      </c>
      <c r="F23" s="165">
        <f>'[7]2. Overall com progres Sep-13'!F23</f>
        <v>36</v>
      </c>
      <c r="G23" s="165">
        <f>'[2]2. Overall com progres Sep-13'!G23</f>
        <v>22160</v>
      </c>
      <c r="H23" s="178">
        <f>'[13]2. Overall com progres Sep-13'!H23</f>
        <v>2686</v>
      </c>
      <c r="I23" s="161">
        <f>'[14]2. Overall com progres June 13'!I23</f>
        <v>0</v>
      </c>
      <c r="J23" s="165">
        <f>'[11]2. Overall com progres Sep-13'!J23</f>
        <v>94183</v>
      </c>
      <c r="K23" s="165">
        <f>'[4]2. Overall com progres Sep-13'!K23</f>
        <v>28042</v>
      </c>
      <c r="L23" s="136">
        <f>'[9]2. Overall com progres Sep-13'!L23</f>
        <v>17101</v>
      </c>
      <c r="M23" s="78">
        <f t="shared" si="7"/>
        <v>167377</v>
      </c>
      <c r="N23" s="86"/>
      <c r="O23" s="69"/>
      <c r="R23" s="64" t="e">
        <f>G23-#REF!</f>
        <v>#REF!</v>
      </c>
      <c r="S23" s="64" t="e">
        <f>C23-#REF!</f>
        <v>#REF!</v>
      </c>
      <c r="T23" s="64" t="e">
        <f>D23-#REF!</f>
        <v>#REF!</v>
      </c>
      <c r="U23" s="64" t="e">
        <f>E23-#REF!</f>
        <v>#REF!</v>
      </c>
      <c r="V23" s="64" t="e">
        <f>F23-#REF!</f>
        <v>#REF!</v>
      </c>
      <c r="W23" s="64" t="e">
        <f>G23-#REF!</f>
        <v>#REF!</v>
      </c>
      <c r="X23" s="64" t="e">
        <f>H23-#REF!</f>
        <v>#REF!</v>
      </c>
      <c r="Y23" s="64" t="e">
        <f>I23-#REF!</f>
        <v>#REF!</v>
      </c>
      <c r="Z23" s="64" t="e">
        <f>J23-#REF!</f>
        <v>#REF!</v>
      </c>
      <c r="AA23" s="64" t="e">
        <f>K23-#REF!</f>
        <v>#REF!</v>
      </c>
      <c r="AB23" s="64" t="e">
        <f>L23-#REF!</f>
        <v>#REF!</v>
      </c>
      <c r="AC23" s="64" t="e">
        <f>M23-#REF!</f>
        <v>#REF!</v>
      </c>
    </row>
    <row r="24" spans="1:29" s="64" customFormat="1" ht="25.5" x14ac:dyDescent="0.2">
      <c r="A24" s="245"/>
      <c r="B24" s="115" t="s">
        <v>224</v>
      </c>
      <c r="C24" s="165">
        <f>'[14]2. Overall com progres June 13'!C24</f>
        <v>16</v>
      </c>
      <c r="D24" s="165">
        <f>'[5]2. Overall com progres June 13'!D24</f>
        <v>16.106083000000002</v>
      </c>
      <c r="E24" s="165">
        <f>'[15]2. Overall com progres Sep-13'!E24</f>
        <v>1</v>
      </c>
      <c r="F24" s="165">
        <f>'[7]2. Overall com progres Sep-13'!F24</f>
        <v>1</v>
      </c>
      <c r="G24" s="165">
        <f>'[2]2. Overall com progres Sep-13'!G24</f>
        <v>294</v>
      </c>
      <c r="H24" s="178">
        <f>'[13]2. Overall com progres Sep-13'!H24</f>
        <v>31.241</v>
      </c>
      <c r="I24" s="161">
        <f>'[14]2. Overall com progres June 13'!I24</f>
        <v>0</v>
      </c>
      <c r="J24" s="165">
        <f>'[11]2. Overall com progres Sep-13'!J24</f>
        <v>938</v>
      </c>
      <c r="K24" s="165">
        <f>'[4]2. Overall com progres Sep-13'!K24</f>
        <v>322.42</v>
      </c>
      <c r="L24" s="136">
        <f>'[9]2. Overall com progres Sep-13'!L24</f>
        <v>228.29499999999999</v>
      </c>
      <c r="M24" s="113">
        <f t="shared" si="7"/>
        <v>1848.0620830000003</v>
      </c>
      <c r="N24" s="87">
        <f>M24/90</f>
        <v>20.534023144444447</v>
      </c>
      <c r="O24" s="121">
        <f>M24/85</f>
        <v>21.741906858823533</v>
      </c>
      <c r="R24" s="64" t="e">
        <f>G24-#REF!</f>
        <v>#REF!</v>
      </c>
      <c r="S24" s="64" t="e">
        <f>C24-#REF!</f>
        <v>#REF!</v>
      </c>
      <c r="T24" s="64" t="e">
        <f>D24-#REF!</f>
        <v>#REF!</v>
      </c>
      <c r="U24" s="64" t="e">
        <f>E24-#REF!</f>
        <v>#REF!</v>
      </c>
      <c r="V24" s="64" t="e">
        <f>F24-#REF!</f>
        <v>#REF!</v>
      </c>
      <c r="W24" s="64" t="e">
        <f>G24-#REF!</f>
        <v>#REF!</v>
      </c>
      <c r="X24" s="64" t="e">
        <f>H24-#REF!</f>
        <v>#REF!</v>
      </c>
      <c r="Y24" s="64" t="e">
        <f>I24-#REF!</f>
        <v>#REF!</v>
      </c>
      <c r="Z24" s="64" t="e">
        <f>J24-#REF!</f>
        <v>#REF!</v>
      </c>
      <c r="AA24" s="64" t="e">
        <f>K24-#REF!</f>
        <v>#REF!</v>
      </c>
      <c r="AB24" s="64" t="e">
        <f>L24-#REF!</f>
        <v>#REF!</v>
      </c>
      <c r="AC24" s="64" t="e">
        <f>M24-#REF!</f>
        <v>#REF!</v>
      </c>
    </row>
    <row r="25" spans="1:29" s="68" customFormat="1" x14ac:dyDescent="0.2">
      <c r="A25" s="246" t="s">
        <v>22</v>
      </c>
      <c r="B25" s="118" t="s">
        <v>19</v>
      </c>
      <c r="C25" s="165">
        <f>'[14]2. Overall com progres June 13'!C25</f>
        <v>79.263000000000005</v>
      </c>
      <c r="D25" s="165">
        <f>'[5]2. Overall com progres June 13'!D25</f>
        <v>195</v>
      </c>
      <c r="E25" s="165">
        <f>'[15]2. Overall com progres Sep-13'!E25</f>
        <v>9</v>
      </c>
      <c r="F25" s="165">
        <f>'[7]2. Overall com progres Sep-13'!F25</f>
        <v>81.489999999999995</v>
      </c>
      <c r="G25" s="165">
        <f>'[2]2. Overall com progres Sep-13'!G25</f>
        <v>30885.66721</v>
      </c>
      <c r="H25" s="178">
        <f>'[13]2. Overall com progres Sep-13'!H25</f>
        <v>4230.6400000000003</v>
      </c>
      <c r="I25" s="161">
        <f>'[14]2. Overall com progres June 13'!I25</f>
        <v>0</v>
      </c>
      <c r="J25" s="165">
        <f>'[11]2. Overall com progres Sep-13'!J25</f>
        <v>3692</v>
      </c>
      <c r="K25" s="165">
        <f>'[4]2. Overall com progres Sep-13'!K25</f>
        <v>357.05500000000001</v>
      </c>
      <c r="L25" s="136">
        <f>'[9]2. Overall com progres Sep-13'!L25</f>
        <v>2833.1570000000002</v>
      </c>
      <c r="M25" s="78">
        <f t="shared" si="7"/>
        <v>42363.272210000003</v>
      </c>
      <c r="N25" s="120">
        <f>M25/1000</f>
        <v>42.363272210000005</v>
      </c>
      <c r="O25" s="121">
        <f>M25/85</f>
        <v>498.39143776470593</v>
      </c>
      <c r="R25" s="64" t="e">
        <f>G25-#REF!</f>
        <v>#REF!</v>
      </c>
      <c r="S25" s="64" t="e">
        <f>C25-#REF!</f>
        <v>#REF!</v>
      </c>
      <c r="T25" s="64" t="e">
        <f>D25-#REF!</f>
        <v>#REF!</v>
      </c>
      <c r="U25" s="64" t="e">
        <f>E25-#REF!</f>
        <v>#REF!</v>
      </c>
      <c r="V25" s="64" t="e">
        <f>F25-#REF!</f>
        <v>#REF!</v>
      </c>
      <c r="W25" s="64" t="e">
        <f>G25-#REF!</f>
        <v>#REF!</v>
      </c>
      <c r="X25" s="64" t="e">
        <f>H25-#REF!</f>
        <v>#REF!</v>
      </c>
      <c r="Y25" s="64" t="e">
        <f>I25-#REF!</f>
        <v>#REF!</v>
      </c>
      <c r="Z25" s="64" t="e">
        <f>J25-#REF!</f>
        <v>#REF!</v>
      </c>
      <c r="AA25" s="64" t="e">
        <f>K25-#REF!</f>
        <v>#REF!</v>
      </c>
      <c r="AB25" s="64" t="e">
        <f>L25-#REF!</f>
        <v>#REF!</v>
      </c>
      <c r="AC25" s="64" t="e">
        <f>M25-#REF!</f>
        <v>#REF!</v>
      </c>
    </row>
    <row r="26" spans="1:29" s="68" customFormat="1" x14ac:dyDescent="0.2">
      <c r="A26" s="246"/>
      <c r="B26" s="111" t="s">
        <v>20</v>
      </c>
      <c r="C26" s="165">
        <f>'[14]2. Overall com progres June 13'!C26</f>
        <v>58.572000000000003</v>
      </c>
      <c r="D26" s="165">
        <f>'[5]2. Overall com progres June 13'!D26</f>
        <v>833</v>
      </c>
      <c r="E26" s="165">
        <f>'[15]2. Overall com progres Sep-13'!E26</f>
        <v>16</v>
      </c>
      <c r="F26" s="165">
        <f>'[7]2. Overall com progres Sep-13'!F26</f>
        <v>344.49</v>
      </c>
      <c r="G26" s="165">
        <f>'[2]2. Overall com progres Sep-13'!G26</f>
        <v>43360.259702000003</v>
      </c>
      <c r="H26" s="178">
        <f>'[13]2. Overall com progres Sep-13'!H26</f>
        <v>5981.52</v>
      </c>
      <c r="I26" s="161">
        <f>'[14]2. Overall com progres June 13'!I26</f>
        <v>0</v>
      </c>
      <c r="J26" s="165">
        <f>'[11]2. Overall com progres Sep-13'!J26</f>
        <v>634</v>
      </c>
      <c r="K26" s="165">
        <f>'[4]2. Overall com progres Sep-13'!K26</f>
        <v>303.84899999999999</v>
      </c>
      <c r="L26" s="136">
        <f>'[9]2. Overall com progres Sep-13'!L26</f>
        <v>2812.393</v>
      </c>
      <c r="M26" s="78">
        <f t="shared" si="7"/>
        <v>54344.083702000004</v>
      </c>
      <c r="N26" s="86"/>
      <c r="O26" s="121"/>
      <c r="R26" s="64" t="e">
        <f>G26-#REF!</f>
        <v>#REF!</v>
      </c>
      <c r="S26" s="64" t="e">
        <f>C26-#REF!</f>
        <v>#REF!</v>
      </c>
      <c r="T26" s="64" t="e">
        <f>D26-#REF!</f>
        <v>#REF!</v>
      </c>
      <c r="U26" s="64" t="e">
        <f>E26-#REF!</f>
        <v>#REF!</v>
      </c>
      <c r="V26" s="64" t="e">
        <f>F26-#REF!</f>
        <v>#REF!</v>
      </c>
      <c r="W26" s="64" t="e">
        <f>G26-#REF!</f>
        <v>#REF!</v>
      </c>
      <c r="X26" s="64" t="e">
        <f>H26-#REF!</f>
        <v>#REF!</v>
      </c>
      <c r="Y26" s="64" t="e">
        <f>I26-#REF!</f>
        <v>#REF!</v>
      </c>
      <c r="Z26" s="64" t="e">
        <f>J26-#REF!</f>
        <v>#REF!</v>
      </c>
      <c r="AA26" s="64" t="e">
        <f>K26-#REF!</f>
        <v>#REF!</v>
      </c>
      <c r="AB26" s="64" t="e">
        <f>L26-#REF!</f>
        <v>#REF!</v>
      </c>
      <c r="AC26" s="64" t="e">
        <f>M26-#REF!</f>
        <v>#REF!</v>
      </c>
    </row>
    <row r="27" spans="1:29" s="68" customFormat="1" x14ac:dyDescent="0.2">
      <c r="A27" s="246"/>
      <c r="B27" s="119" t="s">
        <v>17</v>
      </c>
      <c r="C27" s="104">
        <f>SUM(C25:C26)</f>
        <v>137.83500000000001</v>
      </c>
      <c r="D27" s="166">
        <f t="shared" ref="D27:L27" si="8">SUM(D25:D26)</f>
        <v>1028</v>
      </c>
      <c r="E27" s="166">
        <f t="shared" si="8"/>
        <v>25</v>
      </c>
      <c r="F27" s="166">
        <f t="shared" si="8"/>
        <v>425.98</v>
      </c>
      <c r="G27" s="166">
        <f t="shared" si="8"/>
        <v>74245.926911999995</v>
      </c>
      <c r="H27" s="166">
        <f t="shared" si="8"/>
        <v>10212.16</v>
      </c>
      <c r="I27" s="166">
        <f t="shared" si="8"/>
        <v>0</v>
      </c>
      <c r="J27" s="166">
        <f t="shared" si="8"/>
        <v>4326</v>
      </c>
      <c r="K27" s="166">
        <f t="shared" si="8"/>
        <v>660.904</v>
      </c>
      <c r="L27" s="166">
        <f t="shared" si="8"/>
        <v>5645.55</v>
      </c>
      <c r="M27" s="104">
        <f t="shared" ref="M27" si="9">SUM(M25:M26)</f>
        <v>96707.355911999999</v>
      </c>
      <c r="N27" s="120">
        <f>M27/1000</f>
        <v>96.707355911999997</v>
      </c>
      <c r="O27" s="121">
        <f>M27/85</f>
        <v>1137.7335989647058</v>
      </c>
      <c r="R27" s="64" t="e">
        <f>G27-#REF!</f>
        <v>#REF!</v>
      </c>
      <c r="S27" s="64" t="e">
        <f>C27-#REF!</f>
        <v>#REF!</v>
      </c>
      <c r="T27" s="64" t="e">
        <f>D27-#REF!</f>
        <v>#REF!</v>
      </c>
      <c r="U27" s="64" t="e">
        <f>E27-#REF!</f>
        <v>#REF!</v>
      </c>
      <c r="V27" s="64" t="e">
        <f>F27-#REF!</f>
        <v>#REF!</v>
      </c>
      <c r="W27" s="64" t="e">
        <f>G27-#REF!</f>
        <v>#REF!</v>
      </c>
      <c r="X27" s="64" t="e">
        <f>H27-#REF!</f>
        <v>#REF!</v>
      </c>
      <c r="Y27" s="64" t="e">
        <f>I27-#REF!</f>
        <v>#REF!</v>
      </c>
      <c r="Z27" s="64" t="e">
        <f>J27-#REF!</f>
        <v>#REF!</v>
      </c>
      <c r="AA27" s="64" t="e">
        <f>K27-#REF!</f>
        <v>#REF!</v>
      </c>
      <c r="AB27" s="64" t="e">
        <f>L27-#REF!</f>
        <v>#REF!</v>
      </c>
      <c r="AC27" s="64" t="e">
        <f>M27-#REF!</f>
        <v>#REF!</v>
      </c>
    </row>
    <row r="28" spans="1:29" s="64" customFormat="1" x14ac:dyDescent="0.2">
      <c r="A28" s="247" t="s">
        <v>23</v>
      </c>
      <c r="B28" s="114" t="s">
        <v>19</v>
      </c>
      <c r="C28" s="165">
        <f>'[14]2. Overall com progres June 13'!C28</f>
        <v>4764</v>
      </c>
      <c r="D28" s="165">
        <f>'[5]2. Overall com progres June 13'!D28</f>
        <v>74813</v>
      </c>
      <c r="E28" s="165">
        <f>'[15]2. Overall com progres Sep-13'!E28</f>
        <v>1156</v>
      </c>
      <c r="F28" s="165">
        <f>'[7]2. Overall com progres Sep-13'!F28</f>
        <v>22875</v>
      </c>
      <c r="G28" s="165">
        <f>'[2]2. Overall com progres Sep-13'!G28</f>
        <v>2052946</v>
      </c>
      <c r="H28" s="178">
        <f>'[13]2. Overall com progres Sep-13'!H28</f>
        <v>304833</v>
      </c>
      <c r="I28" s="161">
        <f>'[14]2. Overall com progres June 13'!I28</f>
        <v>0</v>
      </c>
      <c r="J28" s="165">
        <f>'[11]2. Overall com progres Sep-13'!J28</f>
        <v>230955</v>
      </c>
      <c r="K28" s="165">
        <f>'[4]2. Overall com progres Sep-13'!K28</f>
        <v>31772</v>
      </c>
      <c r="L28" s="136">
        <f>'[9]2. Overall com progres Sep-13'!L28</f>
        <v>215919</v>
      </c>
      <c r="M28" s="78">
        <f>SUM(C28:L28)</f>
        <v>2940033</v>
      </c>
      <c r="N28" s="120">
        <f>M28/1000000</f>
        <v>2.9400330000000001</v>
      </c>
      <c r="O28" s="69"/>
      <c r="R28" s="64" t="e">
        <f>G28-#REF!</f>
        <v>#REF!</v>
      </c>
      <c r="S28" s="64" t="e">
        <f>C28-#REF!</f>
        <v>#REF!</v>
      </c>
      <c r="T28" s="64" t="e">
        <f>D28-#REF!</f>
        <v>#REF!</v>
      </c>
      <c r="U28" s="64" t="e">
        <f>E28-#REF!</f>
        <v>#REF!</v>
      </c>
      <c r="V28" s="64" t="e">
        <f>F28-#REF!</f>
        <v>#REF!</v>
      </c>
      <c r="W28" s="64" t="e">
        <f>G28-#REF!</f>
        <v>#REF!</v>
      </c>
      <c r="X28" s="64" t="e">
        <f>H28-#REF!</f>
        <v>#REF!</v>
      </c>
      <c r="Y28" s="64" t="e">
        <f>I28-#REF!</f>
        <v>#REF!</v>
      </c>
      <c r="Z28" s="64" t="e">
        <f>J28-#REF!</f>
        <v>#REF!</v>
      </c>
      <c r="AA28" s="64" t="e">
        <f>K28-#REF!</f>
        <v>#REF!</v>
      </c>
      <c r="AB28" s="64" t="e">
        <f>L28-#REF!</f>
        <v>#REF!</v>
      </c>
      <c r="AC28" s="64" t="e">
        <f>M28-#REF!</f>
        <v>#REF!</v>
      </c>
    </row>
    <row r="29" spans="1:29" s="64" customFormat="1" x14ac:dyDescent="0.2">
      <c r="A29" s="247"/>
      <c r="B29" s="115" t="s">
        <v>20</v>
      </c>
      <c r="C29" s="165">
        <f>'[14]2. Overall com progres June 13'!C29</f>
        <v>3217</v>
      </c>
      <c r="D29" s="165">
        <f>'[5]2. Overall com progres June 13'!D29</f>
        <v>546311</v>
      </c>
      <c r="E29" s="165">
        <f>'[15]2. Overall com progres Sep-13'!E29</f>
        <v>1600</v>
      </c>
      <c r="F29" s="165">
        <f>'[7]2. Overall com progres Sep-13'!F29</f>
        <v>5732</v>
      </c>
      <c r="G29" s="165">
        <f>'[2]2. Overall com progres Sep-13'!G29</f>
        <v>2532867</v>
      </c>
      <c r="H29" s="178">
        <f>'[13]2. Overall com progres Sep-13'!H29</f>
        <v>426628</v>
      </c>
      <c r="I29" s="161">
        <f>'[14]2. Overall com progres June 13'!I29</f>
        <v>0</v>
      </c>
      <c r="J29" s="165">
        <f>'[11]2. Overall com progres Sep-13'!J29</f>
        <v>43796</v>
      </c>
      <c r="K29" s="165">
        <f>'[4]2. Overall com progres Sep-13'!K29</f>
        <v>28711</v>
      </c>
      <c r="L29" s="136">
        <f>'[9]2. Overall com progres Sep-13'!L29</f>
        <v>168479</v>
      </c>
      <c r="M29" s="78">
        <f>SUM(C29:L29)</f>
        <v>3757341</v>
      </c>
      <c r="N29" s="120"/>
      <c r="O29" s="69"/>
      <c r="R29" s="64" t="e">
        <f>G29-#REF!</f>
        <v>#REF!</v>
      </c>
      <c r="S29" s="64" t="e">
        <f>C29-#REF!</f>
        <v>#REF!</v>
      </c>
      <c r="T29" s="64" t="e">
        <f>D29-#REF!</f>
        <v>#REF!</v>
      </c>
      <c r="U29" s="64" t="e">
        <f>E29-#REF!</f>
        <v>#REF!</v>
      </c>
      <c r="V29" s="64" t="e">
        <f>F29-#REF!</f>
        <v>#REF!</v>
      </c>
      <c r="W29" s="64" t="e">
        <f>G29-#REF!</f>
        <v>#REF!</v>
      </c>
      <c r="X29" s="64" t="e">
        <f>H29-#REF!</f>
        <v>#REF!</v>
      </c>
      <c r="Y29" s="64" t="e">
        <f>I29-#REF!</f>
        <v>#REF!</v>
      </c>
      <c r="Z29" s="64" t="e">
        <f>J29-#REF!</f>
        <v>#REF!</v>
      </c>
      <c r="AA29" s="64" t="e">
        <f>K29-#REF!</f>
        <v>#REF!</v>
      </c>
      <c r="AB29" s="64" t="e">
        <f>L29-#REF!</f>
        <v>#REF!</v>
      </c>
      <c r="AC29" s="64" t="e">
        <f>M29-#REF!</f>
        <v>#REF!</v>
      </c>
    </row>
    <row r="30" spans="1:29" s="64" customFormat="1" x14ac:dyDescent="0.2">
      <c r="A30" s="247"/>
      <c r="B30" s="116" t="s">
        <v>17</v>
      </c>
      <c r="C30" s="104">
        <f>SUM(C28:C29)</f>
        <v>7981</v>
      </c>
      <c r="D30" s="166">
        <f t="shared" ref="D30:L30" si="10">SUM(D28:D29)</f>
        <v>621124</v>
      </c>
      <c r="E30" s="166">
        <f t="shared" si="10"/>
        <v>2756</v>
      </c>
      <c r="F30" s="166">
        <f t="shared" si="10"/>
        <v>28607</v>
      </c>
      <c r="G30" s="166">
        <f t="shared" si="10"/>
        <v>4585813</v>
      </c>
      <c r="H30" s="166">
        <f t="shared" si="10"/>
        <v>731461</v>
      </c>
      <c r="I30" s="166">
        <f t="shared" si="10"/>
        <v>0</v>
      </c>
      <c r="J30" s="166">
        <f t="shared" si="10"/>
        <v>274751</v>
      </c>
      <c r="K30" s="166">
        <f t="shared" si="10"/>
        <v>60483</v>
      </c>
      <c r="L30" s="166">
        <f t="shared" si="10"/>
        <v>384398</v>
      </c>
      <c r="M30" s="104">
        <f t="shared" ref="M30" si="11">SUM(M28:M29)</f>
        <v>6697374</v>
      </c>
      <c r="N30" s="120">
        <f>M30/1000000</f>
        <v>6.6973739999999999</v>
      </c>
      <c r="O30" s="69"/>
      <c r="R30" s="64" t="e">
        <f>G30-#REF!</f>
        <v>#REF!</v>
      </c>
      <c r="S30" s="64" t="e">
        <f>C30-#REF!</f>
        <v>#REF!</v>
      </c>
      <c r="T30" s="64" t="e">
        <f>D30-#REF!</f>
        <v>#REF!</v>
      </c>
      <c r="U30" s="64" t="e">
        <f>E30-#REF!</f>
        <v>#REF!</v>
      </c>
      <c r="V30" s="64" t="e">
        <f>F30-#REF!</f>
        <v>#REF!</v>
      </c>
      <c r="W30" s="64" t="e">
        <f>G30-#REF!</f>
        <v>#REF!</v>
      </c>
      <c r="X30" s="64" t="e">
        <f>H30-#REF!</f>
        <v>#REF!</v>
      </c>
      <c r="Y30" s="64" t="e">
        <f>I30-#REF!</f>
        <v>#REF!</v>
      </c>
      <c r="Z30" s="64" t="e">
        <f>J30-#REF!</f>
        <v>#REF!</v>
      </c>
      <c r="AA30" s="64" t="e">
        <f>K30-#REF!</f>
        <v>#REF!</v>
      </c>
      <c r="AB30" s="64" t="e">
        <f>L30-#REF!</f>
        <v>#REF!</v>
      </c>
      <c r="AC30" s="64" t="e">
        <f>M30-#REF!</f>
        <v>#REF!</v>
      </c>
    </row>
    <row r="31" spans="1:29" s="69" customFormat="1" x14ac:dyDescent="0.2">
      <c r="A31" s="246" t="s">
        <v>225</v>
      </c>
      <c r="B31" s="114" t="s">
        <v>19</v>
      </c>
      <c r="C31" s="165">
        <f>'[14]2. Overall com progres June 13'!C31</f>
        <v>0</v>
      </c>
      <c r="D31" s="165">
        <f>'[5]2. Overall com progres June 13'!D31</f>
        <v>74813</v>
      </c>
      <c r="E31" s="165">
        <f>'[15]2. Overall com progres Sep-13'!E31</f>
        <v>0</v>
      </c>
      <c r="F31" s="165">
        <f>'[7]2. Overall com progres Sep-13'!F31</f>
        <v>19686</v>
      </c>
      <c r="G31" s="165">
        <f>'[2]2. Overall com progres Sep-13'!G31</f>
        <v>750007</v>
      </c>
      <c r="H31" s="178">
        <f>'[13]2. Overall com progres Sep-13'!H31</f>
        <v>0</v>
      </c>
      <c r="I31" s="161">
        <f>'[14]2. Overall com progres June 13'!I31</f>
        <v>0</v>
      </c>
      <c r="J31" s="165">
        <f>'[11]2. Overall com progres Sep-13'!J31</f>
        <v>212745</v>
      </c>
      <c r="K31" s="165">
        <f>'[4]2. Overall com progres Sep-13'!K31</f>
        <v>5834</v>
      </c>
      <c r="L31" s="136">
        <f>'[9]2. Overall com progres Sep-13'!L31</f>
        <v>85962</v>
      </c>
      <c r="M31" s="78">
        <f>SUM(C31:L31)</f>
        <v>1149047</v>
      </c>
      <c r="R31" s="64" t="e">
        <f>G31-#REF!</f>
        <v>#REF!</v>
      </c>
      <c r="S31" s="64" t="e">
        <f>C31-#REF!</f>
        <v>#REF!</v>
      </c>
      <c r="T31" s="64" t="e">
        <f>D31-#REF!</f>
        <v>#REF!</v>
      </c>
      <c r="U31" s="64" t="e">
        <f>E31-#REF!</f>
        <v>#REF!</v>
      </c>
      <c r="V31" s="64" t="e">
        <f>F31-#REF!</f>
        <v>#REF!</v>
      </c>
      <c r="W31" s="64" t="e">
        <f>G31-#REF!</f>
        <v>#REF!</v>
      </c>
      <c r="X31" s="64" t="e">
        <f>H31-#REF!</f>
        <v>#REF!</v>
      </c>
      <c r="Y31" s="64" t="e">
        <f>I31-#REF!</f>
        <v>#REF!</v>
      </c>
      <c r="Z31" s="64" t="e">
        <f>J31-#REF!</f>
        <v>#REF!</v>
      </c>
      <c r="AA31" s="64" t="e">
        <f>K31-#REF!</f>
        <v>#REF!</v>
      </c>
      <c r="AB31" s="64" t="e">
        <f>L31-#REF!</f>
        <v>#REF!</v>
      </c>
      <c r="AC31" s="64" t="e">
        <f>M31-#REF!</f>
        <v>#REF!</v>
      </c>
    </row>
    <row r="32" spans="1:29" s="69" customFormat="1" x14ac:dyDescent="0.2">
      <c r="A32" s="246"/>
      <c r="B32" s="115" t="s">
        <v>20</v>
      </c>
      <c r="C32" s="165">
        <f>'[14]2. Overall com progres June 13'!C32</f>
        <v>0</v>
      </c>
      <c r="D32" s="165">
        <f>'[5]2. Overall com progres June 13'!D32</f>
        <v>546311</v>
      </c>
      <c r="E32" s="165">
        <f>'[15]2. Overall com progres Sep-13'!E32</f>
        <v>0</v>
      </c>
      <c r="F32" s="165">
        <f>'[7]2. Overall com progres Sep-13'!F32</f>
        <v>6713</v>
      </c>
      <c r="G32" s="165">
        <f>'[2]2. Overall com progres Sep-13'!G32</f>
        <v>1942916</v>
      </c>
      <c r="H32" s="178">
        <f>'[13]2. Overall com progres Sep-13'!H32</f>
        <v>0</v>
      </c>
      <c r="I32" s="161">
        <f>'[14]2. Overall com progres June 13'!I32</f>
        <v>0</v>
      </c>
      <c r="J32" s="165">
        <f>'[11]2. Overall com progres Sep-13'!J32</f>
        <v>40601</v>
      </c>
      <c r="K32" s="165">
        <f>'[4]2. Overall com progres Sep-13'!K32</f>
        <v>21566</v>
      </c>
      <c r="L32" s="136">
        <f>'[9]2. Overall com progres Sep-13'!L32</f>
        <v>72468</v>
      </c>
      <c r="M32" s="78">
        <f>SUM(C32:L32)</f>
        <v>2630575</v>
      </c>
      <c r="R32" s="64" t="e">
        <f>G32-#REF!</f>
        <v>#REF!</v>
      </c>
      <c r="S32" s="64" t="e">
        <f>C32-#REF!</f>
        <v>#REF!</v>
      </c>
      <c r="T32" s="64" t="e">
        <f>D32-#REF!</f>
        <v>#REF!</v>
      </c>
      <c r="U32" s="64" t="e">
        <f>E32-#REF!</f>
        <v>#REF!</v>
      </c>
      <c r="V32" s="64" t="e">
        <f>F32-#REF!</f>
        <v>#REF!</v>
      </c>
      <c r="W32" s="64" t="e">
        <f>G32-#REF!</f>
        <v>#REF!</v>
      </c>
      <c r="X32" s="64" t="e">
        <f>H32-#REF!</f>
        <v>#REF!</v>
      </c>
      <c r="Y32" s="64" t="e">
        <f>I32-#REF!</f>
        <v>#REF!</v>
      </c>
      <c r="Z32" s="64" t="e">
        <f>J32-#REF!</f>
        <v>#REF!</v>
      </c>
      <c r="AA32" s="64" t="e">
        <f>K32-#REF!</f>
        <v>#REF!</v>
      </c>
      <c r="AB32" s="64" t="e">
        <f>L32-#REF!</f>
        <v>#REF!</v>
      </c>
      <c r="AC32" s="64" t="e">
        <f>M32-#REF!</f>
        <v>#REF!</v>
      </c>
    </row>
    <row r="33" spans="1:29" s="69" customFormat="1" x14ac:dyDescent="0.2">
      <c r="A33" s="246"/>
      <c r="B33" s="116" t="s">
        <v>17</v>
      </c>
      <c r="C33" s="104">
        <f>SUM(C31:C32)</f>
        <v>0</v>
      </c>
      <c r="D33" s="166">
        <f t="shared" ref="D33:L33" si="12">SUM(D31:D32)</f>
        <v>621124</v>
      </c>
      <c r="E33" s="166">
        <f t="shared" si="12"/>
        <v>0</v>
      </c>
      <c r="F33" s="166">
        <f t="shared" si="12"/>
        <v>26399</v>
      </c>
      <c r="G33" s="166">
        <f t="shared" si="12"/>
        <v>2692923</v>
      </c>
      <c r="H33" s="166">
        <f t="shared" si="12"/>
        <v>0</v>
      </c>
      <c r="I33" s="166">
        <f t="shared" si="12"/>
        <v>0</v>
      </c>
      <c r="J33" s="166">
        <f t="shared" si="12"/>
        <v>253346</v>
      </c>
      <c r="K33" s="166">
        <f t="shared" si="12"/>
        <v>27400</v>
      </c>
      <c r="L33" s="166">
        <f t="shared" si="12"/>
        <v>158430</v>
      </c>
      <c r="M33" s="104">
        <f t="shared" ref="M33" si="13">SUM(M31:M32)</f>
        <v>3779622</v>
      </c>
      <c r="N33" s="68">
        <f>M33/1000000</f>
        <v>3.7796219999999998</v>
      </c>
      <c r="R33" s="64" t="e">
        <f>G33-#REF!</f>
        <v>#REF!</v>
      </c>
      <c r="S33" s="64" t="e">
        <f>C33-#REF!</f>
        <v>#REF!</v>
      </c>
      <c r="T33" s="64" t="e">
        <f>D33-#REF!</f>
        <v>#REF!</v>
      </c>
      <c r="U33" s="64" t="e">
        <f>E33-#REF!</f>
        <v>#REF!</v>
      </c>
      <c r="V33" s="64" t="e">
        <f>F33-#REF!</f>
        <v>#REF!</v>
      </c>
      <c r="W33" s="64" t="e">
        <f>G33-#REF!</f>
        <v>#REF!</v>
      </c>
      <c r="X33" s="64" t="e">
        <f>H33-#REF!</f>
        <v>#REF!</v>
      </c>
      <c r="Y33" s="64" t="e">
        <f>I33-#REF!</f>
        <v>#REF!</v>
      </c>
      <c r="Z33" s="64" t="e">
        <f>J33-#REF!</f>
        <v>#REF!</v>
      </c>
      <c r="AA33" s="64" t="e">
        <f>K33-#REF!</f>
        <v>#REF!</v>
      </c>
      <c r="AB33" s="64" t="e">
        <f>L33-#REF!</f>
        <v>#REF!</v>
      </c>
      <c r="AC33" s="64" t="e">
        <f>M33-#REF!</f>
        <v>#REF!</v>
      </c>
    </row>
    <row r="34" spans="1:29" s="64" customFormat="1" ht="13.15" customHeight="1" x14ac:dyDescent="0.2">
      <c r="A34" s="249" t="s">
        <v>265</v>
      </c>
      <c r="B34" s="115" t="s">
        <v>19</v>
      </c>
      <c r="C34" s="165">
        <f>'[14]2. Overall com progres June 13'!C34</f>
        <v>0</v>
      </c>
      <c r="D34" s="165">
        <f>'[5]2. Overall com progres June 13'!D34</f>
        <v>74813</v>
      </c>
      <c r="E34" s="165">
        <f>'[15]2. Overall com progres Sep-13'!E34</f>
        <v>0</v>
      </c>
      <c r="F34" s="165">
        <f>'[7]2. Overall com progres Sep-13'!F34</f>
        <v>19686</v>
      </c>
      <c r="G34" s="165">
        <f>'[2]2. Overall com progres Sep-13'!G34</f>
        <v>1629043</v>
      </c>
      <c r="H34" s="178">
        <f>'[13]2. Overall com progres Sep-13'!H34</f>
        <v>0</v>
      </c>
      <c r="I34" s="161">
        <f>'[14]2. Overall com progres June 13'!I34</f>
        <v>0</v>
      </c>
      <c r="J34" s="165">
        <f>'[11]2. Overall com progres Sep-13'!J34</f>
        <v>358952</v>
      </c>
      <c r="K34" s="165">
        <f>'[4]2. Overall com progres Sep-13'!K34*6</f>
        <v>35004</v>
      </c>
      <c r="L34" s="136">
        <f>'[9]2. Overall com progres Sep-13'!L34</f>
        <v>86763</v>
      </c>
      <c r="M34" s="78">
        <f>SUM(C34:L34)</f>
        <v>2204261</v>
      </c>
      <c r="N34" s="68">
        <f>M34/1000000</f>
        <v>2.2042609999999998</v>
      </c>
      <c r="O34" s="69"/>
      <c r="R34" s="64" t="e">
        <f>G34-#REF!</f>
        <v>#REF!</v>
      </c>
      <c r="S34" s="64" t="e">
        <f>C34-#REF!</f>
        <v>#REF!</v>
      </c>
      <c r="T34" s="64" t="e">
        <f>D34-#REF!</f>
        <v>#REF!</v>
      </c>
      <c r="U34" s="64" t="e">
        <f>E34-#REF!</f>
        <v>#REF!</v>
      </c>
      <c r="V34" s="64" t="e">
        <f>F34-#REF!</f>
        <v>#REF!</v>
      </c>
      <c r="W34" s="64" t="e">
        <f>G34-#REF!</f>
        <v>#REF!</v>
      </c>
      <c r="X34" s="64" t="e">
        <f>H34-#REF!</f>
        <v>#REF!</v>
      </c>
      <c r="Y34" s="64" t="e">
        <f>I34-#REF!</f>
        <v>#REF!</v>
      </c>
      <c r="Z34" s="64" t="e">
        <f>J34-#REF!</f>
        <v>#REF!</v>
      </c>
      <c r="AA34" s="64" t="e">
        <f>K34-#REF!</f>
        <v>#REF!</v>
      </c>
      <c r="AB34" s="64" t="e">
        <f>L34-#REF!</f>
        <v>#REF!</v>
      </c>
      <c r="AC34" s="64" t="e">
        <f>M34-#REF!</f>
        <v>#REF!</v>
      </c>
    </row>
    <row r="35" spans="1:29" s="64" customFormat="1" x14ac:dyDescent="0.2">
      <c r="A35" s="249"/>
      <c r="B35" s="115" t="s">
        <v>20</v>
      </c>
      <c r="C35" s="165">
        <f>'[14]2. Overall com progres June 13'!C35</f>
        <v>0</v>
      </c>
      <c r="D35" s="165">
        <f>'[5]2. Overall com progres June 13'!D35</f>
        <v>546311</v>
      </c>
      <c r="E35" s="165">
        <f>'[15]2. Overall com progres Sep-13'!E35</f>
        <v>0</v>
      </c>
      <c r="F35" s="165">
        <f>'[7]2. Overall com progres Sep-13'!F35</f>
        <v>6713</v>
      </c>
      <c r="G35" s="165">
        <f>'[2]2. Overall com progres Sep-13'!G35</f>
        <v>2690972</v>
      </c>
      <c r="H35" s="178">
        <f>'[13]2. Overall com progres Sep-13'!H35</f>
        <v>0</v>
      </c>
      <c r="I35" s="161">
        <f>'[14]2. Overall com progres June 13'!I35</f>
        <v>0</v>
      </c>
      <c r="J35" s="165">
        <f>'[11]2. Overall com progres Sep-13'!J35</f>
        <v>257340</v>
      </c>
      <c r="K35" s="165">
        <f>'[4]2. Overall com progres Sep-13'!K35*6</f>
        <v>129396</v>
      </c>
      <c r="L35" s="136">
        <f>'[9]2. Overall com progres Sep-13'!L35</f>
        <v>72943</v>
      </c>
      <c r="M35" s="78">
        <f>SUM(C35:L35)</f>
        <v>3703675</v>
      </c>
      <c r="N35" s="86"/>
      <c r="O35" s="69"/>
      <c r="R35" s="64" t="e">
        <f>G35-#REF!</f>
        <v>#REF!</v>
      </c>
      <c r="S35" s="64" t="e">
        <f>C35-#REF!</f>
        <v>#REF!</v>
      </c>
      <c r="T35" s="64" t="e">
        <f>D35-#REF!</f>
        <v>#REF!</v>
      </c>
      <c r="U35" s="64" t="e">
        <f>E35-#REF!</f>
        <v>#REF!</v>
      </c>
      <c r="V35" s="64" t="e">
        <f>F35-#REF!</f>
        <v>#REF!</v>
      </c>
      <c r="W35" s="64" t="e">
        <f>G35-#REF!</f>
        <v>#REF!</v>
      </c>
      <c r="X35" s="64" t="e">
        <f>H35-#REF!</f>
        <v>#REF!</v>
      </c>
      <c r="Y35" s="64" t="e">
        <f>I35-#REF!</f>
        <v>#REF!</v>
      </c>
      <c r="Z35" s="64" t="e">
        <f>J35-#REF!</f>
        <v>#REF!</v>
      </c>
      <c r="AA35" s="64" t="e">
        <f>K35-#REF!</f>
        <v>#REF!</v>
      </c>
      <c r="AB35" s="64" t="e">
        <f>L35-#REF!</f>
        <v>#REF!</v>
      </c>
      <c r="AC35" s="64" t="e">
        <f>M35-#REF!</f>
        <v>#REF!</v>
      </c>
    </row>
    <row r="36" spans="1:29" s="64" customFormat="1" x14ac:dyDescent="0.2">
      <c r="A36" s="249"/>
      <c r="B36" s="116" t="s">
        <v>17</v>
      </c>
      <c r="C36" s="104">
        <f>SUM(C34:C35)</f>
        <v>0</v>
      </c>
      <c r="D36" s="166">
        <f t="shared" ref="D36:L36" si="14">SUM(D34:D35)</f>
        <v>621124</v>
      </c>
      <c r="E36" s="166">
        <f t="shared" si="14"/>
        <v>0</v>
      </c>
      <c r="F36" s="166">
        <f t="shared" si="14"/>
        <v>26399</v>
      </c>
      <c r="G36" s="166">
        <f t="shared" si="14"/>
        <v>4320015</v>
      </c>
      <c r="H36" s="166">
        <f t="shared" si="14"/>
        <v>0</v>
      </c>
      <c r="I36" s="166">
        <f t="shared" si="14"/>
        <v>0</v>
      </c>
      <c r="J36" s="166">
        <f t="shared" si="14"/>
        <v>616292</v>
      </c>
      <c r="K36" s="166">
        <f t="shared" si="14"/>
        <v>164400</v>
      </c>
      <c r="L36" s="166">
        <f t="shared" si="14"/>
        <v>159706</v>
      </c>
      <c r="M36" s="104">
        <f t="shared" ref="M36" si="15">SUM(M34:M35)</f>
        <v>5907936</v>
      </c>
      <c r="N36" s="68">
        <f>M36/1000000</f>
        <v>5.9079360000000003</v>
      </c>
      <c r="O36" s="69"/>
      <c r="R36" s="64" t="e">
        <f>G36-#REF!</f>
        <v>#REF!</v>
      </c>
      <c r="S36" s="64" t="e">
        <f>C36-#REF!</f>
        <v>#REF!</v>
      </c>
      <c r="T36" s="64" t="e">
        <f>D36-#REF!</f>
        <v>#REF!</v>
      </c>
      <c r="U36" s="64" t="e">
        <f>E36-#REF!</f>
        <v>#REF!</v>
      </c>
      <c r="V36" s="64" t="e">
        <f>F36-#REF!</f>
        <v>#REF!</v>
      </c>
      <c r="W36" s="64" t="e">
        <f>G36-#REF!</f>
        <v>#REF!</v>
      </c>
      <c r="X36" s="64" t="e">
        <f>H36-#REF!</f>
        <v>#REF!</v>
      </c>
      <c r="Y36" s="64" t="e">
        <f>I36-#REF!</f>
        <v>#REF!</v>
      </c>
      <c r="Z36" s="64" t="e">
        <f>J36-#REF!</f>
        <v>#REF!</v>
      </c>
      <c r="AA36" s="64" t="e">
        <f>K36-#REF!</f>
        <v>#REF!</v>
      </c>
      <c r="AB36" s="64" t="e">
        <f>L36-#REF!</f>
        <v>#REF!</v>
      </c>
      <c r="AC36" s="64" t="e">
        <f>M36-#REF!</f>
        <v>#REF!</v>
      </c>
    </row>
    <row r="37" spans="1:29" s="70" customFormat="1" x14ac:dyDescent="0.2">
      <c r="A37" s="263" t="s">
        <v>24</v>
      </c>
      <c r="B37" s="264"/>
      <c r="C37" s="165">
        <f>'[14]2. Overall com progres June 13'!C37</f>
        <v>1637</v>
      </c>
      <c r="D37" s="165">
        <f>'[5]2. Overall com progres June 13'!D37</f>
        <v>3576</v>
      </c>
      <c r="E37" s="165">
        <f>'[15]2. Overall com progres Sep-13'!E37</f>
        <v>1295</v>
      </c>
      <c r="F37" s="165">
        <f>'[7]2. Overall com progres Sep-13'!F37</f>
        <v>606</v>
      </c>
      <c r="G37" s="165">
        <f>'[2]2. Overall com progres Sep-13'!G37</f>
        <v>28174</v>
      </c>
      <c r="H37" s="178">
        <f>'[13]2. Overall com progres Sep-13'!H37</f>
        <v>6433</v>
      </c>
      <c r="I37" s="161">
        <f>'[14]2. Overall com progres June 13'!I37</f>
        <v>16</v>
      </c>
      <c r="J37" s="165">
        <f>'[11]2. Overall com progres Sep-13'!J37</f>
        <v>39559</v>
      </c>
      <c r="K37" s="165">
        <f>'[4]2. Overall com progres Sep-13'!K37</f>
        <v>7923</v>
      </c>
      <c r="L37" s="136">
        <f>'[9]2. Overall com progres Sep-13'!L37</f>
        <v>58387</v>
      </c>
      <c r="M37" s="78">
        <f t="shared" ref="M37:M45" si="16">SUM(C37:L37)</f>
        <v>147606</v>
      </c>
      <c r="N37" s="86"/>
      <c r="O37" s="69"/>
      <c r="R37" s="64" t="e">
        <f>G37-#REF!</f>
        <v>#REF!</v>
      </c>
      <c r="S37" s="64" t="e">
        <f>C37-#REF!</f>
        <v>#REF!</v>
      </c>
      <c r="T37" s="64" t="e">
        <f>D37-#REF!</f>
        <v>#REF!</v>
      </c>
      <c r="U37" s="64" t="e">
        <f>E37-#REF!</f>
        <v>#REF!</v>
      </c>
      <c r="V37" s="64" t="e">
        <f>F37-#REF!</f>
        <v>#REF!</v>
      </c>
      <c r="W37" s="64" t="e">
        <f>G37-#REF!</f>
        <v>#REF!</v>
      </c>
      <c r="X37" s="64" t="e">
        <f>H37-#REF!</f>
        <v>#REF!</v>
      </c>
      <c r="Y37" s="64" t="e">
        <f>I37-#REF!</f>
        <v>#REF!</v>
      </c>
      <c r="Z37" s="64" t="e">
        <f>J37-#REF!</f>
        <v>#REF!</v>
      </c>
      <c r="AA37" s="64" t="e">
        <f>K37-#REF!</f>
        <v>#REF!</v>
      </c>
      <c r="AB37" s="64" t="e">
        <f>L37-#REF!</f>
        <v>#REF!</v>
      </c>
      <c r="AC37" s="64" t="e">
        <f>M37-#REF!</f>
        <v>#REF!</v>
      </c>
    </row>
    <row r="38" spans="1:29" s="70" customFormat="1" x14ac:dyDescent="0.2">
      <c r="A38" s="263" t="s">
        <v>25</v>
      </c>
      <c r="B38" s="264"/>
      <c r="C38" s="165">
        <f>'[14]2. Overall com progres June 13'!C38</f>
        <v>1637</v>
      </c>
      <c r="D38" s="165">
        <f>'[5]2. Overall com progres June 13'!D38</f>
        <v>3576</v>
      </c>
      <c r="E38" s="165">
        <f>'[15]2. Overall com progres Sep-13'!E38</f>
        <v>1086</v>
      </c>
      <c r="F38" s="165">
        <f>'[7]2. Overall com progres Sep-13'!F38</f>
        <v>562</v>
      </c>
      <c r="G38" s="165">
        <f>'[2]2. Overall com progres Sep-13'!G38</f>
        <v>27280</v>
      </c>
      <c r="H38" s="178">
        <f>'[13]2. Overall com progres Sep-13'!H38</f>
        <v>6433</v>
      </c>
      <c r="I38" s="161">
        <f>'[14]2. Overall com progres June 13'!I38</f>
        <v>16</v>
      </c>
      <c r="J38" s="165">
        <f>'[11]2. Overall com progres Sep-13'!J38</f>
        <v>39559</v>
      </c>
      <c r="K38" s="165">
        <f>'[4]2. Overall com progres Sep-13'!K38</f>
        <v>7750</v>
      </c>
      <c r="L38" s="136">
        <f>'[9]2. Overall com progres Sep-13'!L38</f>
        <v>57251</v>
      </c>
      <c r="M38" s="78">
        <f t="shared" si="16"/>
        <v>145150</v>
      </c>
      <c r="N38" s="86"/>
      <c r="O38" s="69"/>
      <c r="R38" s="64" t="e">
        <f>G38-#REF!</f>
        <v>#REF!</v>
      </c>
      <c r="S38" s="64" t="e">
        <f>C38-#REF!</f>
        <v>#REF!</v>
      </c>
      <c r="T38" s="64" t="e">
        <f>D38-#REF!</f>
        <v>#REF!</v>
      </c>
      <c r="U38" s="64" t="e">
        <f>E38-#REF!</f>
        <v>#REF!</v>
      </c>
      <c r="V38" s="64" t="e">
        <f>F38-#REF!</f>
        <v>#REF!</v>
      </c>
      <c r="W38" s="64" t="e">
        <f>G38-#REF!</f>
        <v>#REF!</v>
      </c>
      <c r="X38" s="64" t="e">
        <f>H38-#REF!</f>
        <v>#REF!</v>
      </c>
      <c r="Y38" s="64" t="e">
        <f>I38-#REF!</f>
        <v>#REF!</v>
      </c>
      <c r="Z38" s="64" t="e">
        <f>J38-#REF!</f>
        <v>#REF!</v>
      </c>
      <c r="AA38" s="64" t="e">
        <f>K38-#REF!</f>
        <v>#REF!</v>
      </c>
      <c r="AB38" s="64" t="e">
        <f>L38-#REF!</f>
        <v>#REF!</v>
      </c>
      <c r="AC38" s="64" t="e">
        <f>M38-#REF!</f>
        <v>#REF!</v>
      </c>
    </row>
    <row r="39" spans="1:29" s="71" customFormat="1" x14ac:dyDescent="0.2">
      <c r="A39" s="263" t="s">
        <v>26</v>
      </c>
      <c r="B39" s="264"/>
      <c r="C39" s="165">
        <f>'[14]2. Overall com progres June 13'!C39</f>
        <v>100347</v>
      </c>
      <c r="D39" s="165">
        <f>'[5]2. Overall com progres June 13'!D39</f>
        <v>284440</v>
      </c>
      <c r="E39" s="165">
        <f>'[15]2. Overall com progres Sep-13'!E39</f>
        <v>71525</v>
      </c>
      <c r="F39" s="165">
        <f>'[7]2. Overall com progres Sep-13'!F39</f>
        <v>21951</v>
      </c>
      <c r="G39" s="165">
        <f>'[2]2. Overall com progres Sep-13'!G39</f>
        <v>1225536</v>
      </c>
      <c r="H39" s="178">
        <f>'[13]2. Overall com progres Sep-13'!H39</f>
        <v>674798</v>
      </c>
      <c r="I39" s="161">
        <f>'[14]2. Overall com progres June 13'!I39</f>
        <v>6500</v>
      </c>
      <c r="J39" s="165">
        <f>'[11]2. Overall com progres Sep-13'!J39</f>
        <v>227555</v>
      </c>
      <c r="K39" s="165">
        <f>'[4]2. Overall com progres Sep-13'!K39</f>
        <v>1528442</v>
      </c>
      <c r="L39" s="136">
        <f>'[9]2. Overall com progres Sep-13'!L39</f>
        <v>388140</v>
      </c>
      <c r="M39" s="78">
        <f t="shared" si="16"/>
        <v>4529234</v>
      </c>
      <c r="N39" s="68">
        <f>M39/1000000</f>
        <v>4.5292339999999998</v>
      </c>
      <c r="O39" s="69">
        <f>476*15</f>
        <v>7140</v>
      </c>
      <c r="R39" s="64" t="e">
        <f>G39-#REF!</f>
        <v>#REF!</v>
      </c>
      <c r="S39" s="64" t="e">
        <f>C39-#REF!</f>
        <v>#REF!</v>
      </c>
      <c r="T39" s="64" t="e">
        <f>D39-#REF!</f>
        <v>#REF!</v>
      </c>
      <c r="U39" s="64" t="e">
        <f>E39-#REF!</f>
        <v>#REF!</v>
      </c>
      <c r="V39" s="64" t="e">
        <f>F39-#REF!</f>
        <v>#REF!</v>
      </c>
      <c r="W39" s="64" t="e">
        <f>G39-#REF!</f>
        <v>#REF!</v>
      </c>
      <c r="X39" s="64" t="e">
        <f>H39-#REF!</f>
        <v>#REF!</v>
      </c>
      <c r="Y39" s="64" t="e">
        <f>I39-#REF!</f>
        <v>#REF!</v>
      </c>
      <c r="Z39" s="64" t="e">
        <f>J39-#REF!</f>
        <v>#REF!</v>
      </c>
      <c r="AA39" s="64" t="e">
        <f>K39-#REF!</f>
        <v>#REF!</v>
      </c>
      <c r="AB39" s="64" t="e">
        <f>L39-#REF!</f>
        <v>#REF!</v>
      </c>
      <c r="AC39" s="64" t="e">
        <f>M39-#REF!</f>
        <v>#REF!</v>
      </c>
    </row>
    <row r="40" spans="1:29" s="71" customFormat="1" x14ac:dyDescent="0.2">
      <c r="A40" s="259" t="s">
        <v>261</v>
      </c>
      <c r="B40" s="260"/>
      <c r="C40" s="165">
        <f>'[14]2. Overall com progres June 13'!C40</f>
        <v>100347</v>
      </c>
      <c r="D40" s="165">
        <f>'[5]2. Overall com progres June 13'!D40</f>
        <v>284440</v>
      </c>
      <c r="E40" s="165">
        <f>'[15]2. Overall com progres Sep-13'!E40</f>
        <v>68132</v>
      </c>
      <c r="F40" s="165">
        <f>'[7]2. Overall com progres Sep-13'!F40</f>
        <v>20851</v>
      </c>
      <c r="G40" s="165">
        <f>'[2]2. Overall com progres Sep-13'!G40</f>
        <v>1149367</v>
      </c>
      <c r="H40" s="178">
        <f>'[13]2. Overall com progres Sep-13'!H40</f>
        <v>674798</v>
      </c>
      <c r="I40" s="161">
        <f>'[14]2. Overall com progres June 13'!I40</f>
        <v>0</v>
      </c>
      <c r="J40" s="165">
        <f>'[11]2. Overall com progres Sep-13'!J40</f>
        <v>227555</v>
      </c>
      <c r="K40" s="165">
        <f>'[4]2. Overall com progres Sep-13'!K40</f>
        <v>1495068</v>
      </c>
      <c r="L40" s="136">
        <f>'[9]2. Overall com progres Sep-13'!L40</f>
        <v>371924</v>
      </c>
      <c r="M40" s="78">
        <f t="shared" si="16"/>
        <v>4392482</v>
      </c>
      <c r="N40" s="68"/>
      <c r="O40" s="69"/>
      <c r="R40" s="64"/>
      <c r="S40" s="64" t="e">
        <f>C40-#REF!</f>
        <v>#REF!</v>
      </c>
      <c r="T40" s="64" t="e">
        <f>D40-#REF!</f>
        <v>#REF!</v>
      </c>
      <c r="U40" s="64" t="e">
        <f>E40-#REF!</f>
        <v>#REF!</v>
      </c>
      <c r="V40" s="64" t="e">
        <f>F40-#REF!</f>
        <v>#REF!</v>
      </c>
      <c r="W40" s="64" t="e">
        <f>G40-#REF!</f>
        <v>#REF!</v>
      </c>
      <c r="X40" s="64" t="e">
        <f>H40-#REF!</f>
        <v>#REF!</v>
      </c>
      <c r="Y40" s="64" t="e">
        <f>I40-#REF!</f>
        <v>#REF!</v>
      </c>
      <c r="Z40" s="64" t="e">
        <f>J40-#REF!</f>
        <v>#REF!</v>
      </c>
      <c r="AA40" s="64" t="e">
        <f>K40-#REF!</f>
        <v>#REF!</v>
      </c>
      <c r="AB40" s="64" t="e">
        <f>L40-#REF!</f>
        <v>#REF!</v>
      </c>
      <c r="AC40" s="64" t="e">
        <f>M40-#REF!</f>
        <v>#REF!</v>
      </c>
    </row>
    <row r="41" spans="1:29" s="72" customFormat="1" x14ac:dyDescent="0.2">
      <c r="A41" s="250" t="s">
        <v>27</v>
      </c>
      <c r="B41" s="251"/>
      <c r="C41" s="165">
        <f>'[14]2. Overall com progres June 13'!C41</f>
        <v>635.803</v>
      </c>
      <c r="D41" s="165">
        <f>'[5]2. Overall com progres June 13'!D41</f>
        <v>1825.46</v>
      </c>
      <c r="E41" s="165">
        <f>'[15]2. Overall com progres Sep-13'!E41</f>
        <v>641</v>
      </c>
      <c r="F41" s="165">
        <f>'[7]2. Overall com progres Sep-13'!F41</f>
        <v>229</v>
      </c>
      <c r="G41" s="165">
        <f>'[2]2. Overall com progres Sep-13'!G41</f>
        <v>6979.3723980000004</v>
      </c>
      <c r="H41" s="178">
        <f>'[13]2. Overall com progres Sep-13'!H41</f>
        <v>1675.181</v>
      </c>
      <c r="I41" s="161">
        <f>'[14]2. Overall com progres June 13'!I41</f>
        <v>20</v>
      </c>
      <c r="J41" s="165">
        <f>'[11]2. Overall com progres Sep-13'!J41</f>
        <v>2568</v>
      </c>
      <c r="K41" s="165">
        <f>'[4]2. Overall com progres Sep-13'!K41</f>
        <v>4134.58</v>
      </c>
      <c r="L41" s="136">
        <f>'[9]2. Overall com progres Sep-13'!L41</f>
        <v>904.45</v>
      </c>
      <c r="M41" s="78">
        <f t="shared" si="16"/>
        <v>19612.846398000001</v>
      </c>
      <c r="N41" s="86">
        <f>M41/90</f>
        <v>217.92051553333334</v>
      </c>
      <c r="O41" s="121">
        <f>M41/85</f>
        <v>230.7393693882353</v>
      </c>
      <c r="R41" s="64" t="e">
        <f>G41-#REF!</f>
        <v>#REF!</v>
      </c>
      <c r="S41" s="64" t="e">
        <f>C41-#REF!</f>
        <v>#REF!</v>
      </c>
      <c r="T41" s="64" t="e">
        <f>D41-#REF!</f>
        <v>#REF!</v>
      </c>
      <c r="U41" s="64" t="e">
        <f>E41-#REF!</f>
        <v>#REF!</v>
      </c>
      <c r="V41" s="64" t="e">
        <f>F41-#REF!</f>
        <v>#REF!</v>
      </c>
      <c r="W41" s="64" t="e">
        <f>G41-#REF!</f>
        <v>#REF!</v>
      </c>
      <c r="X41" s="64" t="e">
        <f>H41-#REF!</f>
        <v>#REF!</v>
      </c>
      <c r="Y41" s="64" t="e">
        <f>I41-#REF!</f>
        <v>#REF!</v>
      </c>
      <c r="Z41" s="64" t="e">
        <f>J41-#REF!</f>
        <v>#REF!</v>
      </c>
      <c r="AA41" s="64" t="e">
        <f>K41-#REF!</f>
        <v>#REF!</v>
      </c>
      <c r="AB41" s="64" t="e">
        <f>L41-#REF!</f>
        <v>#REF!</v>
      </c>
      <c r="AC41" s="64" t="e">
        <f>M41-#REF!</f>
        <v>#REF!</v>
      </c>
    </row>
    <row r="42" spans="1:29" s="72" customFormat="1" x14ac:dyDescent="0.2">
      <c r="A42" s="261" t="s">
        <v>262</v>
      </c>
      <c r="B42" s="262"/>
      <c r="C42" s="165">
        <f>'[14]2. Overall com progres June 13'!C42</f>
        <v>635.803</v>
      </c>
      <c r="D42" s="165">
        <f>'[5]2. Overall com progres June 13'!D42</f>
        <v>1825.46</v>
      </c>
      <c r="E42" s="165">
        <f>'[15]2. Overall com progres Sep-13'!E42</f>
        <v>544</v>
      </c>
      <c r="F42" s="165">
        <f>'[7]2. Overall com progres Sep-13'!F42</f>
        <v>177.78</v>
      </c>
      <c r="G42" s="165">
        <f>'[2]2. Overall com progres Sep-13'!G42</f>
        <v>6267.8969619999998</v>
      </c>
      <c r="H42" s="178">
        <f>'[13]2. Overall com progres Sep-13'!H42</f>
        <v>1675.181</v>
      </c>
      <c r="I42" s="161">
        <f>'[14]2. Overall com progres June 13'!I42</f>
        <v>20</v>
      </c>
      <c r="J42" s="165">
        <f>'[11]2. Overall com progres Sep-13'!J42</f>
        <v>2568</v>
      </c>
      <c r="K42" s="165">
        <f>'[4]2. Overall com progres Sep-13'!K42</f>
        <v>4044.7</v>
      </c>
      <c r="L42" s="136">
        <f>'[9]2. Overall com progres Sep-13'!L42</f>
        <v>878.99300000000005</v>
      </c>
      <c r="M42" s="78">
        <f t="shared" si="16"/>
        <v>18637.813962</v>
      </c>
      <c r="N42" s="86"/>
      <c r="O42" s="121"/>
      <c r="R42" s="64"/>
      <c r="S42" s="64" t="e">
        <f>C42-#REF!</f>
        <v>#REF!</v>
      </c>
      <c r="T42" s="64" t="e">
        <f>D42-#REF!</f>
        <v>#REF!</v>
      </c>
      <c r="U42" s="64" t="e">
        <f>E42-#REF!</f>
        <v>#REF!</v>
      </c>
      <c r="V42" s="64" t="e">
        <f>F42-#REF!</f>
        <v>#REF!</v>
      </c>
      <c r="W42" s="64" t="e">
        <f>G42-#REF!</f>
        <v>#REF!</v>
      </c>
      <c r="X42" s="64" t="e">
        <f>H42-#REF!</f>
        <v>#REF!</v>
      </c>
      <c r="Y42" s="64" t="e">
        <f>I42-#REF!</f>
        <v>#REF!</v>
      </c>
      <c r="Z42" s="64" t="e">
        <f>J42-#REF!</f>
        <v>#REF!</v>
      </c>
      <c r="AA42" s="64" t="e">
        <f>K42-#REF!</f>
        <v>#REF!</v>
      </c>
      <c r="AB42" s="64" t="e">
        <f>L42-#REF!</f>
        <v>#REF!</v>
      </c>
      <c r="AC42" s="64" t="e">
        <f>M42-#REF!</f>
        <v>#REF!</v>
      </c>
    </row>
    <row r="43" spans="1:29" s="73" customFormat="1" x14ac:dyDescent="0.2">
      <c r="A43" s="252" t="s">
        <v>28</v>
      </c>
      <c r="B43" s="253" t="s">
        <v>29</v>
      </c>
      <c r="C43" s="165">
        <f>'[14]2. Overall com progres June 13'!C43</f>
        <v>355</v>
      </c>
      <c r="D43" s="165">
        <f>'[5]2. Overall com progres June 13'!D43</f>
        <v>867</v>
      </c>
      <c r="E43" s="165">
        <f>'[15]2. Overall com progres Sep-13'!E43</f>
        <v>141</v>
      </c>
      <c r="F43" s="165">
        <f>'[7]2. Overall com progres Sep-13'!F43</f>
        <v>3</v>
      </c>
      <c r="G43" s="165">
        <f>'[2]2. Overall com progres Sep-13'!G43</f>
        <v>545</v>
      </c>
      <c r="H43" s="178">
        <f>'[13]2. Overall com progres Sep-13'!H43</f>
        <v>198</v>
      </c>
      <c r="I43" s="161">
        <f>'[14]2. Overall com progres June 13'!I43</f>
        <v>25</v>
      </c>
      <c r="J43" s="165">
        <f>'[11]2. Overall com progres Sep-13'!J43</f>
        <v>2</v>
      </c>
      <c r="K43" s="165">
        <f>'[4]2. Overall com progres Sep-13'!K43</f>
        <v>73</v>
      </c>
      <c r="L43" s="136">
        <f>'[9]2. Overall com progres Sep-13'!L43</f>
        <v>113</v>
      </c>
      <c r="M43" s="78">
        <f t="shared" si="16"/>
        <v>2322</v>
      </c>
      <c r="N43" s="86"/>
      <c r="O43" s="69"/>
      <c r="R43" s="64" t="e">
        <f>G43-#REF!</f>
        <v>#REF!</v>
      </c>
      <c r="S43" s="64" t="e">
        <f>C43-#REF!</f>
        <v>#REF!</v>
      </c>
      <c r="T43" s="64" t="e">
        <f>D43-#REF!</f>
        <v>#REF!</v>
      </c>
      <c r="U43" s="64" t="e">
        <f>E43-#REF!</f>
        <v>#REF!</v>
      </c>
      <c r="V43" s="64" t="e">
        <f>F43-#REF!</f>
        <v>#REF!</v>
      </c>
      <c r="W43" s="64" t="e">
        <f>G43-#REF!</f>
        <v>#REF!</v>
      </c>
      <c r="X43" s="64" t="e">
        <f>H43-#REF!</f>
        <v>#REF!</v>
      </c>
      <c r="Y43" s="64" t="e">
        <f>I43-#REF!</f>
        <v>#REF!</v>
      </c>
      <c r="Z43" s="64" t="e">
        <f>J43-#REF!</f>
        <v>#REF!</v>
      </c>
      <c r="AA43" s="64" t="e">
        <f>K43-#REF!</f>
        <v>#REF!</v>
      </c>
      <c r="AB43" s="64" t="e">
        <f>L43-#REF!</f>
        <v>#REF!</v>
      </c>
      <c r="AC43" s="64" t="e">
        <f>M43-#REF!</f>
        <v>#REF!</v>
      </c>
    </row>
    <row r="44" spans="1:29" s="64" customFormat="1" x14ac:dyDescent="0.2">
      <c r="A44" s="247" t="s">
        <v>30</v>
      </c>
      <c r="B44" s="65" t="s">
        <v>29</v>
      </c>
      <c r="C44" s="165">
        <f>'[14]2. Overall com progres June 13'!C44</f>
        <v>11370</v>
      </c>
      <c r="D44" s="165">
        <f>'[5]2. Overall com progres June 13'!D44</f>
        <v>2900</v>
      </c>
      <c r="E44" s="165">
        <f>'[15]2. Overall com progres Sep-13'!E44</f>
        <v>4453</v>
      </c>
      <c r="F44" s="165">
        <f>'[7]2. Overall com progres Sep-13'!F44</f>
        <v>780</v>
      </c>
      <c r="G44" s="165">
        <f>'[2]2. Overall com progres Sep-13'!G44</f>
        <v>9852</v>
      </c>
      <c r="H44" s="178">
        <f>'[13]2. Overall com progres Sep-13'!H44</f>
        <v>6660</v>
      </c>
      <c r="I44" s="161">
        <f>'[14]2. Overall com progres June 13'!I44</f>
        <v>3526</v>
      </c>
      <c r="J44" s="165">
        <f>'[11]2. Overall com progres Sep-13'!J44</f>
        <v>25</v>
      </c>
      <c r="K44" s="165">
        <f>'[4]2. Overall com progres Sep-13'!K44</f>
        <v>1991</v>
      </c>
      <c r="L44" s="136">
        <f>'[9]2. Overall com progres Sep-13'!L44</f>
        <v>1947</v>
      </c>
      <c r="M44" s="78">
        <f t="shared" si="16"/>
        <v>43504</v>
      </c>
      <c r="N44" s="86"/>
      <c r="O44" s="69"/>
      <c r="R44" s="64" t="e">
        <f>G44-#REF!</f>
        <v>#REF!</v>
      </c>
      <c r="S44" s="64" t="e">
        <f>C44-#REF!</f>
        <v>#REF!</v>
      </c>
      <c r="T44" s="64" t="e">
        <f>D44-#REF!</f>
        <v>#REF!</v>
      </c>
      <c r="U44" s="64" t="e">
        <f>E44-#REF!</f>
        <v>#REF!</v>
      </c>
      <c r="V44" s="64" t="e">
        <f>F44-#REF!</f>
        <v>#REF!</v>
      </c>
      <c r="W44" s="64" t="e">
        <f>G44-#REF!</f>
        <v>#REF!</v>
      </c>
      <c r="X44" s="64" t="e">
        <f>H44-#REF!</f>
        <v>#REF!</v>
      </c>
      <c r="Y44" s="64" t="e">
        <f>I44-#REF!</f>
        <v>#REF!</v>
      </c>
      <c r="Z44" s="64" t="e">
        <f>J44-#REF!</f>
        <v>#REF!</v>
      </c>
      <c r="AA44" s="64" t="e">
        <f>K44-#REF!</f>
        <v>#REF!</v>
      </c>
      <c r="AB44" s="64" t="e">
        <f>L44-#REF!</f>
        <v>#REF!</v>
      </c>
      <c r="AC44" s="64" t="e">
        <f>M44-#REF!</f>
        <v>#REF!</v>
      </c>
    </row>
    <row r="45" spans="1:29" s="64" customFormat="1" x14ac:dyDescent="0.2">
      <c r="A45" s="247"/>
      <c r="B45" s="66" t="s">
        <v>31</v>
      </c>
      <c r="C45" s="165">
        <f>'[14]2. Overall com progres June 13'!C45</f>
        <v>9922</v>
      </c>
      <c r="D45" s="165">
        <f>'[5]2. Overall com progres June 13'!D45</f>
        <v>7375</v>
      </c>
      <c r="E45" s="165">
        <f>'[15]2. Overall com progres Sep-13'!E45</f>
        <v>5543</v>
      </c>
      <c r="F45" s="165">
        <f>'[7]2. Overall com progres Sep-13'!F45</f>
        <v>608</v>
      </c>
      <c r="G45" s="165">
        <f>'[2]2. Overall com progres Sep-13'!G45</f>
        <v>10537</v>
      </c>
      <c r="H45" s="178">
        <f>'[13]2. Overall com progres Sep-13'!H45</f>
        <v>5035</v>
      </c>
      <c r="I45" s="161">
        <f>'[14]2. Overall com progres June 13'!I45</f>
        <v>5110</v>
      </c>
      <c r="J45" s="165">
        <f>'[11]2. Overall com progres Sep-13'!J45</f>
        <v>55</v>
      </c>
      <c r="K45" s="165">
        <f>'[4]2. Overall com progres Sep-13'!K45</f>
        <v>2470</v>
      </c>
      <c r="L45" s="136">
        <f>'[9]2. Overall com progres Sep-13'!L45</f>
        <v>707</v>
      </c>
      <c r="M45" s="78">
        <f t="shared" si="16"/>
        <v>47362</v>
      </c>
      <c r="N45" s="86"/>
      <c r="O45" s="69"/>
      <c r="R45" s="64" t="e">
        <f>G45-#REF!</f>
        <v>#REF!</v>
      </c>
      <c r="S45" s="64" t="e">
        <f>C45-#REF!</f>
        <v>#REF!</v>
      </c>
      <c r="T45" s="64" t="e">
        <f>D45-#REF!</f>
        <v>#REF!</v>
      </c>
      <c r="U45" s="64" t="e">
        <f>E45-#REF!</f>
        <v>#REF!</v>
      </c>
      <c r="V45" s="64" t="e">
        <f>F45-#REF!</f>
        <v>#REF!</v>
      </c>
      <c r="W45" s="64" t="e">
        <f>G45-#REF!</f>
        <v>#REF!</v>
      </c>
      <c r="X45" s="64" t="e">
        <f>H45-#REF!</f>
        <v>#REF!</v>
      </c>
      <c r="Y45" s="64" t="e">
        <f>I45-#REF!</f>
        <v>#REF!</v>
      </c>
      <c r="Z45" s="64" t="e">
        <f>J45-#REF!</f>
        <v>#REF!</v>
      </c>
      <c r="AA45" s="64" t="e">
        <f>K45-#REF!</f>
        <v>#REF!</v>
      </c>
      <c r="AB45" s="64" t="e">
        <f>L45-#REF!</f>
        <v>#REF!</v>
      </c>
      <c r="AC45" s="64" t="e">
        <f>M45-#REF!</f>
        <v>#REF!</v>
      </c>
    </row>
    <row r="46" spans="1:29" s="64" customFormat="1" x14ac:dyDescent="0.2">
      <c r="A46" s="247"/>
      <c r="B46" s="67" t="s">
        <v>17</v>
      </c>
      <c r="C46" s="104">
        <f>SUM(C44:C45)</f>
        <v>21292</v>
      </c>
      <c r="D46" s="166">
        <f t="shared" ref="D46:L46" si="17">SUM(D44:D45)</f>
        <v>10275</v>
      </c>
      <c r="E46" s="166">
        <f t="shared" si="17"/>
        <v>9996</v>
      </c>
      <c r="F46" s="166">
        <f t="shared" si="17"/>
        <v>1388</v>
      </c>
      <c r="G46" s="166">
        <f t="shared" si="17"/>
        <v>20389</v>
      </c>
      <c r="H46" s="166">
        <f t="shared" si="17"/>
        <v>11695</v>
      </c>
      <c r="I46" s="166">
        <f t="shared" si="17"/>
        <v>8636</v>
      </c>
      <c r="J46" s="166">
        <f t="shared" si="17"/>
        <v>80</v>
      </c>
      <c r="K46" s="166">
        <f t="shared" si="17"/>
        <v>4461</v>
      </c>
      <c r="L46" s="166">
        <f t="shared" si="17"/>
        <v>2654</v>
      </c>
      <c r="M46" s="104">
        <f t="shared" ref="M46" si="18">SUM(M44:M45)</f>
        <v>90866</v>
      </c>
      <c r="N46" s="87">
        <f>M44/M46%</f>
        <v>47.877093742433914</v>
      </c>
      <c r="O46" s="69"/>
      <c r="R46" s="64" t="e">
        <f>G46-#REF!</f>
        <v>#REF!</v>
      </c>
      <c r="S46" s="64" t="e">
        <f>C46-#REF!</f>
        <v>#REF!</v>
      </c>
      <c r="T46" s="64" t="e">
        <f>D46-#REF!</f>
        <v>#REF!</v>
      </c>
      <c r="U46" s="64" t="e">
        <f>E46-#REF!</f>
        <v>#REF!</v>
      </c>
      <c r="V46" s="64" t="e">
        <f>F46-#REF!</f>
        <v>#REF!</v>
      </c>
      <c r="W46" s="64" t="e">
        <f>G46-#REF!</f>
        <v>#REF!</v>
      </c>
      <c r="X46" s="64" t="e">
        <f>H46-#REF!</f>
        <v>#REF!</v>
      </c>
      <c r="Y46" s="64" t="e">
        <f>I46-#REF!</f>
        <v>#REF!</v>
      </c>
      <c r="Z46" s="64" t="e">
        <f>J46-#REF!</f>
        <v>#REF!</v>
      </c>
      <c r="AA46" s="64" t="e">
        <f>K46-#REF!</f>
        <v>#REF!</v>
      </c>
      <c r="AB46" s="64" t="e">
        <f>L46-#REF!</f>
        <v>#REF!</v>
      </c>
      <c r="AC46" s="64" t="e">
        <f>M46-#REF!</f>
        <v>#REF!</v>
      </c>
    </row>
    <row r="47" spans="1:29" s="64" customFormat="1" x14ac:dyDescent="0.2">
      <c r="A47" s="258" t="s">
        <v>32</v>
      </c>
      <c r="B47" s="65" t="s">
        <v>19</v>
      </c>
      <c r="C47" s="165">
        <f>'[14]2. Overall com progres June 13'!C47</f>
        <v>0</v>
      </c>
      <c r="D47" s="165">
        <f>'[5]2. Overall com progres June 13'!D47</f>
        <v>0</v>
      </c>
      <c r="E47" s="165">
        <f>'[15]2. Overall com progres Sep-13'!E47</f>
        <v>0</v>
      </c>
      <c r="F47" s="165">
        <f>'[7]2. Overall com progres Sep-13'!F47</f>
        <v>0</v>
      </c>
      <c r="G47" s="165">
        <f>'[2]2. Overall com progres Sep-13'!G47</f>
        <v>22888</v>
      </c>
      <c r="H47" s="178">
        <f>'[13]2. Overall com progres Sep-13'!H47</f>
        <v>0</v>
      </c>
      <c r="I47" s="161">
        <f>'[14]2. Overall com progres June 13'!I47</f>
        <v>0</v>
      </c>
      <c r="J47" s="165">
        <f>'[11]2. Overall com progres Sep-13'!J47</f>
        <v>0</v>
      </c>
      <c r="K47" s="165">
        <f>'[4]2. Overall com progres Sep-13'!K47</f>
        <v>55</v>
      </c>
      <c r="L47" s="136">
        <f>'[9]2. Overall com progres Sep-13'!L47</f>
        <v>0</v>
      </c>
      <c r="M47" s="78">
        <f>SUM(C47:L47)</f>
        <v>22943</v>
      </c>
      <c r="N47" s="86"/>
      <c r="O47" s="69"/>
      <c r="R47" s="64" t="e">
        <f>G47-#REF!</f>
        <v>#REF!</v>
      </c>
      <c r="S47" s="64" t="e">
        <f>C47-#REF!</f>
        <v>#REF!</v>
      </c>
      <c r="T47" s="64" t="e">
        <f>D47-#REF!</f>
        <v>#REF!</v>
      </c>
      <c r="U47" s="64" t="e">
        <f>E47-#REF!</f>
        <v>#REF!</v>
      </c>
      <c r="V47" s="64" t="e">
        <f>F47-#REF!</f>
        <v>#REF!</v>
      </c>
      <c r="W47" s="64" t="e">
        <f>G47-#REF!</f>
        <v>#REF!</v>
      </c>
      <c r="X47" s="64" t="e">
        <f>H47-#REF!</f>
        <v>#REF!</v>
      </c>
      <c r="Y47" s="64" t="e">
        <f>I47-#REF!</f>
        <v>#REF!</v>
      </c>
      <c r="Z47" s="64" t="e">
        <f>J47-#REF!</f>
        <v>#REF!</v>
      </c>
      <c r="AA47" s="64" t="e">
        <f>K47-#REF!</f>
        <v>#REF!</v>
      </c>
      <c r="AB47" s="64" t="e">
        <f>L47-#REF!</f>
        <v>#REF!</v>
      </c>
      <c r="AC47" s="64" t="e">
        <f>M47-#REF!</f>
        <v>#REF!</v>
      </c>
    </row>
    <row r="48" spans="1:29" s="64" customFormat="1" x14ac:dyDescent="0.2">
      <c r="A48" s="258"/>
      <c r="B48" s="66" t="s">
        <v>20</v>
      </c>
      <c r="C48" s="165">
        <f>'[14]2. Overall com progres June 13'!C48</f>
        <v>0</v>
      </c>
      <c r="D48" s="165">
        <f>'[5]2. Overall com progres June 13'!D48</f>
        <v>0</v>
      </c>
      <c r="E48" s="165">
        <f>'[15]2. Overall com progres Sep-13'!E48</f>
        <v>0</v>
      </c>
      <c r="F48" s="165">
        <f>'[7]2. Overall com progres Sep-13'!F48</f>
        <v>0</v>
      </c>
      <c r="G48" s="165">
        <f>'[2]2. Overall com progres Sep-13'!G48</f>
        <v>2494</v>
      </c>
      <c r="H48" s="178">
        <f>'[13]2. Overall com progres Sep-13'!H48</f>
        <v>0</v>
      </c>
      <c r="I48" s="161">
        <f>'[14]2. Overall com progres June 13'!I48</f>
        <v>0</v>
      </c>
      <c r="J48" s="165">
        <f>'[11]2. Overall com progres Sep-13'!J48</f>
        <v>0</v>
      </c>
      <c r="K48" s="165">
        <f>'[4]2. Overall com progres Sep-13'!K48</f>
        <v>38</v>
      </c>
      <c r="L48" s="136">
        <f>'[9]2. Overall com progres Sep-13'!L48</f>
        <v>0</v>
      </c>
      <c r="M48" s="78">
        <f>SUM(C48:L48)</f>
        <v>2532</v>
      </c>
      <c r="N48" s="86"/>
      <c r="O48" s="69"/>
      <c r="R48" s="64" t="e">
        <f>G48-#REF!</f>
        <v>#REF!</v>
      </c>
      <c r="S48" s="64" t="e">
        <f>C48-#REF!</f>
        <v>#REF!</v>
      </c>
      <c r="T48" s="64" t="e">
        <f>D48-#REF!</f>
        <v>#REF!</v>
      </c>
      <c r="U48" s="64" t="e">
        <f>E48-#REF!</f>
        <v>#REF!</v>
      </c>
      <c r="V48" s="64" t="e">
        <f>F48-#REF!</f>
        <v>#REF!</v>
      </c>
      <c r="W48" s="64" t="e">
        <f>G48-#REF!</f>
        <v>#REF!</v>
      </c>
      <c r="X48" s="64" t="e">
        <f>H48-#REF!</f>
        <v>#REF!</v>
      </c>
      <c r="Y48" s="64" t="e">
        <f>I48-#REF!</f>
        <v>#REF!</v>
      </c>
      <c r="Z48" s="64" t="e">
        <f>J48-#REF!</f>
        <v>#REF!</v>
      </c>
      <c r="AA48" s="64" t="e">
        <f>K48-#REF!</f>
        <v>#REF!</v>
      </c>
      <c r="AB48" s="64" t="e">
        <f>L48-#REF!</f>
        <v>#REF!</v>
      </c>
      <c r="AC48" s="64" t="e">
        <f>M48-#REF!</f>
        <v>#REF!</v>
      </c>
    </row>
    <row r="49" spans="1:29" s="64" customFormat="1" x14ac:dyDescent="0.2">
      <c r="A49" s="258"/>
      <c r="B49" s="67" t="s">
        <v>17</v>
      </c>
      <c r="C49" s="104">
        <f>SUM(C47:C48)</f>
        <v>0</v>
      </c>
      <c r="D49" s="166">
        <f t="shared" ref="D49:L49" si="19">SUM(D47:D48)</f>
        <v>0</v>
      </c>
      <c r="E49" s="166">
        <f t="shared" si="19"/>
        <v>0</v>
      </c>
      <c r="F49" s="166">
        <f t="shared" si="19"/>
        <v>0</v>
      </c>
      <c r="G49" s="166">
        <f t="shared" si="19"/>
        <v>25382</v>
      </c>
      <c r="H49" s="166">
        <f t="shared" si="19"/>
        <v>0</v>
      </c>
      <c r="I49" s="166">
        <f t="shared" si="19"/>
        <v>0</v>
      </c>
      <c r="J49" s="166">
        <f t="shared" si="19"/>
        <v>0</v>
      </c>
      <c r="K49" s="166">
        <f t="shared" si="19"/>
        <v>93</v>
      </c>
      <c r="L49" s="166">
        <f t="shared" si="19"/>
        <v>0</v>
      </c>
      <c r="M49" s="104">
        <f t="shared" ref="M49" si="20">SUM(M47:M48)</f>
        <v>25475</v>
      </c>
      <c r="N49" s="86"/>
      <c r="O49" s="69"/>
      <c r="R49" s="64" t="e">
        <f>G49-#REF!</f>
        <v>#REF!</v>
      </c>
      <c r="S49" s="64" t="e">
        <f>C49-#REF!</f>
        <v>#REF!</v>
      </c>
      <c r="T49" s="64" t="e">
        <f>D49-#REF!</f>
        <v>#REF!</v>
      </c>
      <c r="U49" s="64" t="e">
        <f>E49-#REF!</f>
        <v>#REF!</v>
      </c>
      <c r="V49" s="64" t="e">
        <f>F49-#REF!</f>
        <v>#REF!</v>
      </c>
      <c r="W49" s="64" t="e">
        <f>G49-#REF!</f>
        <v>#REF!</v>
      </c>
      <c r="X49" s="64" t="e">
        <f>H49-#REF!</f>
        <v>#REF!</v>
      </c>
      <c r="Y49" s="64" t="e">
        <f>I49-#REF!</f>
        <v>#REF!</v>
      </c>
      <c r="Z49" s="64" t="e">
        <f>J49-#REF!</f>
        <v>#REF!</v>
      </c>
      <c r="AA49" s="64" t="e">
        <f>K49-#REF!</f>
        <v>#REF!</v>
      </c>
      <c r="AB49" s="64" t="e">
        <f>L49-#REF!</f>
        <v>#REF!</v>
      </c>
      <c r="AC49" s="64" t="e">
        <f>M49-#REF!</f>
        <v>#REF!</v>
      </c>
    </row>
    <row r="50" spans="1:29" s="64" customFormat="1" x14ac:dyDescent="0.2">
      <c r="A50" s="247" t="s">
        <v>219</v>
      </c>
      <c r="B50" s="65" t="s">
        <v>19</v>
      </c>
      <c r="C50" s="165">
        <f>'[14]2. Overall com progres June 13'!C50</f>
        <v>31</v>
      </c>
      <c r="D50" s="165">
        <f>'[5]2. Overall com progres June 13'!D50</f>
        <v>1243</v>
      </c>
      <c r="E50" s="165">
        <f>'[15]2. Overall com progres Sep-13'!E50</f>
        <v>1688</v>
      </c>
      <c r="F50" s="165">
        <f>'[7]2. Overall com progres Sep-13'!F50</f>
        <v>95</v>
      </c>
      <c r="G50" s="165">
        <f>'[2]2. Overall com progres Sep-13'!G50</f>
        <v>3153</v>
      </c>
      <c r="H50" s="178">
        <f>'[13]2. Overall com progres Sep-13'!H50</f>
        <v>8442</v>
      </c>
      <c r="I50" s="161">
        <v>410</v>
      </c>
      <c r="J50" s="165">
        <f>'[11]2. Overall com progres Sep-13'!J50</f>
        <v>4777</v>
      </c>
      <c r="K50" s="165">
        <f>'[4]2. Overall com progres Sep-13'!K50</f>
        <v>1066</v>
      </c>
      <c r="L50" s="136">
        <f>'[9]2. Overall com progres Sep-13'!L50</f>
        <v>867</v>
      </c>
      <c r="M50" s="78">
        <f>SUM(C50:L50)</f>
        <v>21772</v>
      </c>
      <c r="N50" s="86"/>
      <c r="O50" s="69"/>
      <c r="R50" s="64" t="e">
        <f>G50-#REF!</f>
        <v>#REF!</v>
      </c>
      <c r="S50" s="64" t="e">
        <f>C50-#REF!</f>
        <v>#REF!</v>
      </c>
      <c r="T50" s="64" t="e">
        <f>D50-#REF!</f>
        <v>#REF!</v>
      </c>
      <c r="U50" s="64" t="e">
        <f>E50-#REF!</f>
        <v>#REF!</v>
      </c>
      <c r="V50" s="64" t="e">
        <f>F50-#REF!</f>
        <v>#REF!</v>
      </c>
      <c r="W50" s="64" t="e">
        <f>G50-#REF!</f>
        <v>#REF!</v>
      </c>
      <c r="X50" s="64" t="e">
        <f>H50-#REF!</f>
        <v>#REF!</v>
      </c>
      <c r="Y50" s="64" t="e">
        <f>I50-#REF!</f>
        <v>#REF!</v>
      </c>
      <c r="Z50" s="64" t="e">
        <f>J50-#REF!</f>
        <v>#REF!</v>
      </c>
      <c r="AA50" s="64" t="e">
        <f>K50-#REF!</f>
        <v>#REF!</v>
      </c>
      <c r="AB50" s="64" t="e">
        <f>L50-#REF!</f>
        <v>#REF!</v>
      </c>
      <c r="AC50" s="64" t="e">
        <f>M50-#REF!</f>
        <v>#REF!</v>
      </c>
    </row>
    <row r="51" spans="1:29" s="64" customFormat="1" x14ac:dyDescent="0.2">
      <c r="A51" s="247"/>
      <c r="B51" s="66" t="s">
        <v>20</v>
      </c>
      <c r="C51" s="165">
        <f>'[14]2. Overall com progres June 13'!C51</f>
        <v>0</v>
      </c>
      <c r="D51" s="165">
        <f>'[5]2. Overall com progres June 13'!D51</f>
        <v>0</v>
      </c>
      <c r="E51" s="165">
        <f>'[15]2. Overall com progres Sep-13'!E51</f>
        <v>0</v>
      </c>
      <c r="F51" s="165">
        <f>'[7]2. Overall com progres Sep-13'!F51</f>
        <v>0</v>
      </c>
      <c r="G51" s="165">
        <f>'[2]2. Overall com progres Sep-13'!G51</f>
        <v>0</v>
      </c>
      <c r="H51" s="178">
        <f>'[13]2. Overall com progres Sep-13'!H51</f>
        <v>1770</v>
      </c>
      <c r="I51" s="161">
        <f>'[14]2. Overall com progres June 13'!I51</f>
        <v>0</v>
      </c>
      <c r="J51" s="165">
        <f>'[11]2. Overall com progres Sep-13'!J51</f>
        <v>0</v>
      </c>
      <c r="K51" s="165">
        <f>'[4]2. Overall com progres Sep-13'!K51</f>
        <v>467</v>
      </c>
      <c r="L51" s="136">
        <f>'[9]2. Overall com progres Sep-13'!L51</f>
        <v>675</v>
      </c>
      <c r="M51" s="78">
        <f>SUM(C51:L51)</f>
        <v>2912</v>
      </c>
      <c r="N51" s="86"/>
      <c r="O51" s="69"/>
      <c r="R51" s="64" t="e">
        <f>G51-#REF!</f>
        <v>#REF!</v>
      </c>
      <c r="S51" s="64" t="e">
        <f>C51-#REF!</f>
        <v>#REF!</v>
      </c>
      <c r="T51" s="64" t="e">
        <f>D51-#REF!</f>
        <v>#REF!</v>
      </c>
      <c r="U51" s="64" t="e">
        <f>E51-#REF!</f>
        <v>#REF!</v>
      </c>
      <c r="V51" s="64" t="e">
        <f>F51-#REF!</f>
        <v>#REF!</v>
      </c>
      <c r="W51" s="64" t="e">
        <f>G51-#REF!</f>
        <v>#REF!</v>
      </c>
      <c r="X51" s="64" t="e">
        <f>H51-#REF!</f>
        <v>#REF!</v>
      </c>
      <c r="Y51" s="64" t="e">
        <f>I51-#REF!</f>
        <v>#REF!</v>
      </c>
      <c r="Z51" s="64" t="e">
        <f>J51-#REF!</f>
        <v>#REF!</v>
      </c>
      <c r="AA51" s="64" t="e">
        <f>K51-#REF!</f>
        <v>#REF!</v>
      </c>
      <c r="AB51" s="64" t="e">
        <f>L51-#REF!</f>
        <v>#REF!</v>
      </c>
      <c r="AC51" s="64" t="e">
        <f>M51-#REF!</f>
        <v>#REF!</v>
      </c>
    </row>
    <row r="52" spans="1:29" s="64" customFormat="1" ht="13.5" thickBot="1" x14ac:dyDescent="0.25">
      <c r="A52" s="248"/>
      <c r="B52" s="74" t="s">
        <v>17</v>
      </c>
      <c r="C52" s="166">
        <f t="shared" ref="C52:L52" si="21">SUM(C50:C51)</f>
        <v>31</v>
      </c>
      <c r="D52" s="166">
        <f t="shared" si="21"/>
        <v>1243</v>
      </c>
      <c r="E52" s="166">
        <f t="shared" si="21"/>
        <v>1688</v>
      </c>
      <c r="F52" s="166">
        <f t="shared" si="21"/>
        <v>95</v>
      </c>
      <c r="G52" s="166">
        <f t="shared" si="21"/>
        <v>3153</v>
      </c>
      <c r="H52" s="166">
        <f t="shared" si="21"/>
        <v>10212</v>
      </c>
      <c r="I52" s="166">
        <f t="shared" si="21"/>
        <v>410</v>
      </c>
      <c r="J52" s="166">
        <f t="shared" si="21"/>
        <v>4777</v>
      </c>
      <c r="K52" s="166">
        <f t="shared" si="21"/>
        <v>1533</v>
      </c>
      <c r="L52" s="166">
        <f t="shared" si="21"/>
        <v>1542</v>
      </c>
      <c r="M52" s="104">
        <f t="shared" ref="M52" si="22">SUM(M50:M51)</f>
        <v>24684</v>
      </c>
      <c r="N52" s="86"/>
      <c r="O52" s="69"/>
      <c r="R52" s="64" t="e">
        <f>G52-#REF!</f>
        <v>#REF!</v>
      </c>
      <c r="S52" s="64" t="e">
        <f>C52-#REF!</f>
        <v>#REF!</v>
      </c>
      <c r="T52" s="64" t="e">
        <f>D52-#REF!</f>
        <v>#REF!</v>
      </c>
      <c r="U52" s="64" t="e">
        <f>E52-#REF!</f>
        <v>#REF!</v>
      </c>
      <c r="V52" s="64" t="e">
        <f>F52-#REF!</f>
        <v>#REF!</v>
      </c>
      <c r="W52" s="64" t="e">
        <f>G52-#REF!</f>
        <v>#REF!</v>
      </c>
      <c r="X52" s="64" t="e">
        <f>H52-#REF!</f>
        <v>#REF!</v>
      </c>
      <c r="Y52" s="64" t="e">
        <f>I52-#REF!</f>
        <v>#REF!</v>
      </c>
      <c r="Z52" s="64" t="e">
        <f>J52-#REF!</f>
        <v>#REF!</v>
      </c>
      <c r="AA52" s="64" t="e">
        <f>K52-#REF!</f>
        <v>#REF!</v>
      </c>
      <c r="AB52" s="64" t="e">
        <f>L52-#REF!</f>
        <v>#REF!</v>
      </c>
      <c r="AC52" s="64" t="e">
        <f>M52-#REF!</f>
        <v>#REF!</v>
      </c>
    </row>
    <row r="53" spans="1:29" x14ac:dyDescent="0.2">
      <c r="A53" s="75" t="s">
        <v>260</v>
      </c>
      <c r="E53" s="103"/>
      <c r="G53" s="134"/>
      <c r="H53" s="122"/>
      <c r="I53" s="161"/>
      <c r="K53" s="165"/>
      <c r="L53" s="136"/>
      <c r="R53" s="64" t="e">
        <f>G53-#REF!</f>
        <v>#REF!</v>
      </c>
      <c r="S53" s="64"/>
    </row>
    <row r="54" spans="1:29" x14ac:dyDescent="0.2">
      <c r="A54" s="75" t="s">
        <v>269</v>
      </c>
      <c r="E54" s="103"/>
      <c r="G54" s="75"/>
      <c r="H54" s="122"/>
      <c r="S54" s="64"/>
    </row>
    <row r="55" spans="1:29" x14ac:dyDescent="0.2">
      <c r="E55" s="103"/>
      <c r="S55" s="64"/>
    </row>
    <row r="56" spans="1:29" x14ac:dyDescent="0.2">
      <c r="E56" s="103"/>
    </row>
    <row r="57" spans="1:29" x14ac:dyDescent="0.2">
      <c r="E57" s="165"/>
    </row>
  </sheetData>
  <mergeCells count="24">
    <mergeCell ref="A2:B2"/>
    <mergeCell ref="A4:B4"/>
    <mergeCell ref="A5:B5"/>
    <mergeCell ref="A6:B6"/>
    <mergeCell ref="A47:A49"/>
    <mergeCell ref="A40:B40"/>
    <mergeCell ref="A42:B42"/>
    <mergeCell ref="A37:B37"/>
    <mergeCell ref="A38:B38"/>
    <mergeCell ref="A7:B7"/>
    <mergeCell ref="A12:A14"/>
    <mergeCell ref="A15:A17"/>
    <mergeCell ref="A18:A20"/>
    <mergeCell ref="A8:A11"/>
    <mergeCell ref="A39:B39"/>
    <mergeCell ref="A28:A30"/>
    <mergeCell ref="A21:A24"/>
    <mergeCell ref="A31:A33"/>
    <mergeCell ref="A25:A27"/>
    <mergeCell ref="A50:A52"/>
    <mergeCell ref="A34:A36"/>
    <mergeCell ref="A41:B41"/>
    <mergeCell ref="A43:B43"/>
    <mergeCell ref="A44:A46"/>
  </mergeCells>
  <phoneticPr fontId="33" type="noConversion"/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7"/>
  <sheetViews>
    <sheetView view="pageBreakPreview" zoomScaleSheetLayoutView="10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D16" sqref="D16"/>
    </sheetView>
  </sheetViews>
  <sheetFormatPr defaultRowHeight="12.75" x14ac:dyDescent="0.2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68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 x14ac:dyDescent="0.25">
      <c r="A1" s="124" t="s">
        <v>281</v>
      </c>
      <c r="B1" s="61"/>
      <c r="C1" s="61"/>
      <c r="D1" s="76"/>
      <c r="E1" s="170"/>
      <c r="F1" s="76"/>
      <c r="G1" s="60"/>
      <c r="H1" s="60"/>
      <c r="I1" s="76"/>
      <c r="J1" s="76"/>
      <c r="K1" s="76"/>
      <c r="L1" s="76"/>
    </row>
    <row r="2" spans="1:29" s="77" customFormat="1" x14ac:dyDescent="0.2">
      <c r="A2" s="254" t="s">
        <v>0</v>
      </c>
      <c r="B2" s="255"/>
      <c r="C2" s="177" t="s">
        <v>1</v>
      </c>
      <c r="D2" s="177" t="s">
        <v>2</v>
      </c>
      <c r="E2" s="177" t="s">
        <v>3</v>
      </c>
      <c r="F2" s="177" t="s">
        <v>4</v>
      </c>
      <c r="G2" s="167" t="s">
        <v>5</v>
      </c>
      <c r="H2" s="177" t="s">
        <v>6</v>
      </c>
      <c r="I2" s="177" t="s">
        <v>7</v>
      </c>
      <c r="J2" s="177" t="s">
        <v>8</v>
      </c>
      <c r="K2" s="177" t="s">
        <v>9</v>
      </c>
      <c r="L2" s="177" t="s">
        <v>10</v>
      </c>
      <c r="M2" s="79" t="s">
        <v>17</v>
      </c>
      <c r="S2" s="177" t="s">
        <v>1</v>
      </c>
      <c r="T2" s="177" t="s">
        <v>2</v>
      </c>
      <c r="U2" s="177" t="s">
        <v>3</v>
      </c>
      <c r="V2" s="177" t="s">
        <v>4</v>
      </c>
      <c r="W2" s="167" t="s">
        <v>5</v>
      </c>
      <c r="X2" s="177" t="s">
        <v>6</v>
      </c>
      <c r="Y2" s="177" t="s">
        <v>7</v>
      </c>
      <c r="Z2" s="177" t="s">
        <v>8</v>
      </c>
      <c r="AA2" s="177" t="s">
        <v>9</v>
      </c>
      <c r="AB2" s="177" t="s">
        <v>10</v>
      </c>
      <c r="AC2" s="79" t="s">
        <v>17</v>
      </c>
    </row>
    <row r="3" spans="1:29" ht="9.75" customHeight="1" x14ac:dyDescent="0.2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29" s="64" customFormat="1" x14ac:dyDescent="0.2">
      <c r="A4" s="256" t="s">
        <v>243</v>
      </c>
      <c r="B4" s="256"/>
      <c r="C4" s="165">
        <f>'1.RSP Districts '!A205</f>
        <v>8</v>
      </c>
      <c r="D4" s="165">
        <f>'1.RSP Districts '!A206</f>
        <v>7</v>
      </c>
      <c r="E4" s="165">
        <f>'1.RSP Districts '!A207</f>
        <v>14</v>
      </c>
      <c r="F4" s="165">
        <f>'1.RSP Districts '!A208</f>
        <v>3</v>
      </c>
      <c r="G4" s="165">
        <f>'1.RSP Districts '!A209</f>
        <v>52</v>
      </c>
      <c r="H4" s="165">
        <f>'1.RSP Districts '!A210</f>
        <v>21</v>
      </c>
      <c r="I4" s="165">
        <f>'1.RSP Districts '!A211</f>
        <v>1</v>
      </c>
      <c r="J4" s="165">
        <f>'1.RSP Districts '!A212</f>
        <v>9</v>
      </c>
      <c r="K4" s="165">
        <f>'1.RSP Districts '!A213</f>
        <v>25</v>
      </c>
      <c r="L4" s="165">
        <f>'1.RSP Districts '!A214</f>
        <v>4</v>
      </c>
      <c r="M4" s="165">
        <f>SUM(C4:L4)-25</f>
        <v>119</v>
      </c>
      <c r="N4" s="86"/>
      <c r="O4" s="69"/>
      <c r="R4" s="64" t="e">
        <f>G4-#REF!</f>
        <v>#REF!</v>
      </c>
      <c r="S4" s="64" t="e">
        <f>C4-#REF!</f>
        <v>#REF!</v>
      </c>
      <c r="T4" s="64" t="e">
        <f>D4-#REF!</f>
        <v>#REF!</v>
      </c>
      <c r="U4" s="64" t="e">
        <f>E4-#REF!</f>
        <v>#REF!</v>
      </c>
      <c r="V4" s="64" t="e">
        <f>F4-#REF!</f>
        <v>#REF!</v>
      </c>
      <c r="W4" s="64" t="e">
        <f>G4-#REF!</f>
        <v>#REF!</v>
      </c>
      <c r="X4" s="64" t="e">
        <f>H4-#REF!</f>
        <v>#REF!</v>
      </c>
      <c r="Y4" s="64" t="e">
        <f>I4-#REF!</f>
        <v>#REF!</v>
      </c>
      <c r="Z4" s="64" t="e">
        <f>J4-#REF!</f>
        <v>#REF!</v>
      </c>
      <c r="AA4" s="64" t="e">
        <f>K4-#REF!</f>
        <v>#REF!</v>
      </c>
      <c r="AB4" s="64" t="e">
        <f>L4-#REF!</f>
        <v>#REF!</v>
      </c>
      <c r="AC4" s="64" t="e">
        <f>M4-#REF!</f>
        <v>#REF!</v>
      </c>
    </row>
    <row r="5" spans="1:29" s="64" customFormat="1" x14ac:dyDescent="0.2">
      <c r="A5" s="257" t="s">
        <v>11</v>
      </c>
      <c r="B5" s="256"/>
      <c r="C5" s="165">
        <f>'1.RSP Districts '!E205</f>
        <v>136</v>
      </c>
      <c r="D5" s="143">
        <f>'1.RSP Districts '!E206</f>
        <v>118</v>
      </c>
      <c r="E5" s="171">
        <f>'1.RSP Districts '!E207</f>
        <v>204</v>
      </c>
      <c r="F5" s="165">
        <f>'1.RSP Districts '!E208</f>
        <v>22</v>
      </c>
      <c r="G5" s="143">
        <f>'1.RSP Districts '!E209</f>
        <v>1982</v>
      </c>
      <c r="H5" s="165">
        <f>'1.RSP Districts '!E210</f>
        <v>702</v>
      </c>
      <c r="I5" s="143">
        <f>'1.RSP Districts '!E211</f>
        <v>13</v>
      </c>
      <c r="J5" s="143">
        <f>'1.RSP Districts '!E212</f>
        <v>338</v>
      </c>
      <c r="K5" s="143">
        <f>'1.RSP Districts '!E213</f>
        <v>527</v>
      </c>
      <c r="L5" s="143">
        <f>'1.RSP Districts '!E214</f>
        <v>113</v>
      </c>
      <c r="M5" s="165">
        <f>SUM(C5:L5)-534</f>
        <v>3621</v>
      </c>
      <c r="N5" s="86"/>
      <c r="O5" s="69"/>
      <c r="R5" s="64" t="e">
        <f>G5-#REF!</f>
        <v>#REF!</v>
      </c>
      <c r="S5" s="64" t="e">
        <f>C5-#REF!</f>
        <v>#REF!</v>
      </c>
      <c r="T5" s="64" t="e">
        <f>D5-#REF!</f>
        <v>#REF!</v>
      </c>
      <c r="U5" s="64" t="e">
        <f>E5-#REF!</f>
        <v>#REF!</v>
      </c>
      <c r="V5" s="64" t="e">
        <f>F5-#REF!</f>
        <v>#REF!</v>
      </c>
      <c r="W5" s="64" t="e">
        <f>G5-#REF!</f>
        <v>#REF!</v>
      </c>
      <c r="X5" s="64" t="e">
        <f>H5-#REF!</f>
        <v>#REF!</v>
      </c>
      <c r="Y5" s="64" t="e">
        <f>I5-#REF!</f>
        <v>#REF!</v>
      </c>
      <c r="Z5" s="64" t="e">
        <f>J5-#REF!</f>
        <v>#REF!</v>
      </c>
      <c r="AA5" s="64" t="e">
        <f>K5-#REF!</f>
        <v>#REF!</v>
      </c>
      <c r="AB5" s="64" t="e">
        <f>L5-#REF!</f>
        <v>#REF!</v>
      </c>
      <c r="AC5" s="64" t="e">
        <f>M5-#REF!</f>
        <v>#REF!</v>
      </c>
    </row>
    <row r="6" spans="1:29" s="64" customFormat="1" x14ac:dyDescent="0.2">
      <c r="A6" s="257" t="s">
        <v>217</v>
      </c>
      <c r="B6" s="256"/>
      <c r="C6" s="165">
        <f>'1.RSP Districts '!L205</f>
        <v>102320</v>
      </c>
      <c r="D6" s="165">
        <f>'1.RSP Districts '!L206</f>
        <v>110695</v>
      </c>
      <c r="E6" s="165">
        <f>'1.RSP Districts '!L207</f>
        <v>188824</v>
      </c>
      <c r="F6" s="165">
        <f>'1.RSP Districts '!L208</f>
        <v>35879</v>
      </c>
      <c r="G6" s="165">
        <f>'1.RSP Districts '!L209</f>
        <v>2302313</v>
      </c>
      <c r="H6" s="165">
        <f>'1.RSP Districts '!L210</f>
        <v>1174038</v>
      </c>
      <c r="I6" s="165">
        <f>'1.RSP Districts '!L211</f>
        <v>16500</v>
      </c>
      <c r="J6" s="165">
        <f>'1.RSP Districts '!L212</f>
        <v>591729</v>
      </c>
      <c r="K6" s="165">
        <f>'1.RSP Districts '!L213</f>
        <v>655532</v>
      </c>
      <c r="L6" s="165">
        <f>'1.RSP Districts '!L214</f>
        <v>266548</v>
      </c>
      <c r="M6" s="165">
        <f>SUM(C6:L6)</f>
        <v>5444378</v>
      </c>
      <c r="N6" s="87">
        <f>M6/1000000</f>
        <v>5.4443780000000004</v>
      </c>
      <c r="O6" s="68">
        <f>N6*6.5</f>
        <v>35.388457000000002</v>
      </c>
      <c r="P6" s="64">
        <f>200+90+160+54</f>
        <v>504</v>
      </c>
      <c r="R6" s="64" t="e">
        <f>G6-#REF!</f>
        <v>#REF!</v>
      </c>
      <c r="S6" s="64" t="e">
        <f>C6-#REF!</f>
        <v>#REF!</v>
      </c>
      <c r="T6" s="64" t="e">
        <f>D6-#REF!</f>
        <v>#REF!</v>
      </c>
      <c r="U6" s="64" t="e">
        <f>E6-#REF!</f>
        <v>#REF!</v>
      </c>
      <c r="V6" s="64" t="e">
        <f>F6-#REF!</f>
        <v>#REF!</v>
      </c>
      <c r="W6" s="64" t="e">
        <f>G6-#REF!</f>
        <v>#REF!</v>
      </c>
      <c r="X6" s="64" t="e">
        <f>H6-#REF!</f>
        <v>#REF!</v>
      </c>
      <c r="Y6" s="64" t="e">
        <f>I6-#REF!</f>
        <v>#REF!</v>
      </c>
      <c r="Z6" s="64" t="e">
        <f>J6-#REF!</f>
        <v>#REF!</v>
      </c>
      <c r="AA6" s="64" t="e">
        <f>K6-#REF!</f>
        <v>#REF!</v>
      </c>
      <c r="AB6" s="64" t="e">
        <f>L6-#REF!</f>
        <v>#REF!</v>
      </c>
      <c r="AC6" s="64" t="e">
        <f>M6-#REF!</f>
        <v>#REF!</v>
      </c>
    </row>
    <row r="7" spans="1:29" s="64" customFormat="1" x14ac:dyDescent="0.2">
      <c r="A7" s="257" t="s">
        <v>12</v>
      </c>
      <c r="B7" s="256"/>
      <c r="C7" s="165">
        <v>33</v>
      </c>
      <c r="D7" s="165">
        <v>59</v>
      </c>
      <c r="E7" s="165">
        <v>43</v>
      </c>
      <c r="F7" s="165">
        <v>8</v>
      </c>
      <c r="G7" s="165">
        <f>512-C7</f>
        <v>479</v>
      </c>
      <c r="H7" s="178">
        <v>30</v>
      </c>
      <c r="I7" s="64">
        <v>1</v>
      </c>
      <c r="J7" s="165">
        <v>91</v>
      </c>
      <c r="K7" s="165">
        <v>73</v>
      </c>
      <c r="L7" s="136">
        <v>27</v>
      </c>
      <c r="M7" s="165">
        <f>SUM(C7:L7)</f>
        <v>844</v>
      </c>
      <c r="N7" s="86"/>
      <c r="O7" s="69"/>
      <c r="P7" s="64">
        <f>266298-265794</f>
        <v>504</v>
      </c>
      <c r="R7" s="64" t="e">
        <f>G7-#REF!</f>
        <v>#REF!</v>
      </c>
      <c r="S7" s="64" t="e">
        <f>C7-#REF!</f>
        <v>#REF!</v>
      </c>
      <c r="T7" s="64" t="e">
        <f>D7-#REF!</f>
        <v>#REF!</v>
      </c>
      <c r="U7" s="64" t="e">
        <f>E7-#REF!</f>
        <v>#REF!</v>
      </c>
      <c r="V7" s="64" t="e">
        <f>F7-#REF!</f>
        <v>#REF!</v>
      </c>
      <c r="W7" s="64" t="e">
        <f>G7-#REF!</f>
        <v>#REF!</v>
      </c>
      <c r="X7" s="64" t="e">
        <f>H7-#REF!</f>
        <v>#REF!</v>
      </c>
      <c r="Y7" s="64" t="e">
        <f>I7-#REF!</f>
        <v>#REF!</v>
      </c>
      <c r="Z7" s="64" t="e">
        <f>J7-#REF!</f>
        <v>#REF!</v>
      </c>
      <c r="AA7" s="64" t="e">
        <f>K7-#REF!</f>
        <v>#REF!</v>
      </c>
      <c r="AB7" s="64" t="e">
        <f>L7-#REF!</f>
        <v>#REF!</v>
      </c>
      <c r="AC7" s="64" t="e">
        <f>M7-#REF!</f>
        <v>#REF!</v>
      </c>
    </row>
    <row r="8" spans="1:29" s="64" customFormat="1" x14ac:dyDescent="0.2">
      <c r="A8" s="247" t="s">
        <v>13</v>
      </c>
      <c r="B8" s="114" t="s">
        <v>14</v>
      </c>
      <c r="C8" s="165" t="e">
        <f>#REF!</f>
        <v>#REF!</v>
      </c>
      <c r="D8" s="165">
        <f>'[5]2. Overall com progres June 13'!D8</f>
        <v>2171</v>
      </c>
      <c r="E8" s="165">
        <f>'[3]2. Overall com progres June 13'!E8</f>
        <v>3471</v>
      </c>
      <c r="F8" s="165">
        <f>'[6]2. Overall com progres June 13'!F8</f>
        <v>1641</v>
      </c>
      <c r="G8" s="165">
        <v>71118</v>
      </c>
      <c r="H8" s="165">
        <f>'[16]2. Overall com progres Dec 12'!H8</f>
        <v>28382</v>
      </c>
      <c r="I8" s="161" t="e">
        <f>#REF!</f>
        <v>#REF!</v>
      </c>
      <c r="J8" s="165">
        <f>'[10]2. Overall com progres June 13'!J8</f>
        <v>32866</v>
      </c>
      <c r="K8" s="165">
        <f>'[17]2. Overall com progres June 13'!K8</f>
        <v>9104</v>
      </c>
      <c r="L8" s="136">
        <f>'[8]2. Overall com progres June 13'!L8</f>
        <v>8549</v>
      </c>
      <c r="M8" s="165" t="e">
        <f>SUM(C8:L8)</f>
        <v>#REF!</v>
      </c>
      <c r="N8" s="87" t="e">
        <f>M8/M11%</f>
        <v>#REF!</v>
      </c>
      <c r="O8" s="69"/>
      <c r="P8" s="64" t="s">
        <v>270</v>
      </c>
      <c r="R8" s="64" t="e">
        <f>G8-#REF!</f>
        <v>#REF!</v>
      </c>
      <c r="S8" s="64" t="e">
        <f>C8-#REF!</f>
        <v>#REF!</v>
      </c>
      <c r="T8" s="64" t="e">
        <f>D8-#REF!</f>
        <v>#REF!</v>
      </c>
      <c r="U8" s="64" t="e">
        <f>E8-#REF!</f>
        <v>#REF!</v>
      </c>
      <c r="V8" s="64" t="e">
        <f>F8-#REF!</f>
        <v>#REF!</v>
      </c>
      <c r="W8" s="64" t="e">
        <f>G8-#REF!</f>
        <v>#REF!</v>
      </c>
      <c r="X8" s="64" t="e">
        <f>H8-#REF!</f>
        <v>#REF!</v>
      </c>
      <c r="Y8" s="64" t="e">
        <f>I8-#REF!</f>
        <v>#REF!</v>
      </c>
      <c r="Z8" s="64" t="e">
        <f>J8-#REF!</f>
        <v>#REF!</v>
      </c>
      <c r="AA8" s="64" t="e">
        <f>K8-#REF!</f>
        <v>#REF!</v>
      </c>
      <c r="AB8" s="64" t="e">
        <f>L8-#REF!</f>
        <v>#REF!</v>
      </c>
      <c r="AC8" s="64" t="e">
        <f>M8-#REF!</f>
        <v>#REF!</v>
      </c>
    </row>
    <row r="9" spans="1:29" s="64" customFormat="1" x14ac:dyDescent="0.2">
      <c r="A9" s="247"/>
      <c r="B9" s="115" t="s">
        <v>15</v>
      </c>
      <c r="C9" s="165" t="e">
        <f>#REF!</f>
        <v>#REF!</v>
      </c>
      <c r="D9" s="165">
        <f>'[5]2. Overall com progres June 13'!D9</f>
        <v>2893</v>
      </c>
      <c r="E9" s="165">
        <f>'[3]2. Overall com progres June 13'!E9</f>
        <v>7956</v>
      </c>
      <c r="F9" s="165">
        <f>'[6]2. Overall com progres June 13'!F9</f>
        <v>1342</v>
      </c>
      <c r="G9" s="165">
        <v>71335</v>
      </c>
      <c r="H9" s="165">
        <f>'[16]2. Overall com progres Dec 12'!H9</f>
        <v>40600</v>
      </c>
      <c r="I9" s="161" t="e">
        <f>#REF!</f>
        <v>#REF!</v>
      </c>
      <c r="J9" s="165">
        <f>'[10]2. Overall com progres June 13'!J9</f>
        <v>4159</v>
      </c>
      <c r="K9" s="165">
        <f>'[17]2. Overall com progres June 13'!K9</f>
        <v>17684</v>
      </c>
      <c r="L9" s="136">
        <f>'[8]2. Overall com progres June 13'!L9</f>
        <v>5698</v>
      </c>
      <c r="M9" s="165" t="e">
        <f>SUM(C9:L9)</f>
        <v>#REF!</v>
      </c>
      <c r="N9" s="86"/>
      <c r="O9" s="69"/>
      <c r="P9" s="64">
        <v>19</v>
      </c>
      <c r="Q9" s="64">
        <f>P9*18</f>
        <v>342</v>
      </c>
      <c r="R9" s="64" t="e">
        <f>G9-#REF!</f>
        <v>#REF!</v>
      </c>
      <c r="S9" s="64" t="e">
        <f>C9-#REF!</f>
        <v>#REF!</v>
      </c>
      <c r="T9" s="64" t="e">
        <f>D9-#REF!</f>
        <v>#REF!</v>
      </c>
      <c r="U9" s="64" t="e">
        <f>E9-#REF!</f>
        <v>#REF!</v>
      </c>
      <c r="V9" s="64" t="e">
        <f>F9-#REF!</f>
        <v>#REF!</v>
      </c>
      <c r="W9" s="64" t="e">
        <f>G9-#REF!</f>
        <v>#REF!</v>
      </c>
      <c r="X9" s="64" t="e">
        <f>H9-#REF!</f>
        <v>#REF!</v>
      </c>
      <c r="Y9" s="64" t="e">
        <f>I9-#REF!</f>
        <v>#REF!</v>
      </c>
      <c r="Z9" s="64" t="e">
        <f>J9-#REF!</f>
        <v>#REF!</v>
      </c>
      <c r="AA9" s="64" t="e">
        <f>K9-#REF!</f>
        <v>#REF!</v>
      </c>
      <c r="AB9" s="64" t="e">
        <f>L9-#REF!</f>
        <v>#REF!</v>
      </c>
      <c r="AC9" s="64" t="e">
        <f>M9-#REF!</f>
        <v>#REF!</v>
      </c>
    </row>
    <row r="10" spans="1:29" s="64" customFormat="1" x14ac:dyDescent="0.2">
      <c r="A10" s="247"/>
      <c r="B10" s="115" t="s">
        <v>16</v>
      </c>
      <c r="C10" s="165" t="e">
        <f>#REF!</f>
        <v>#REF!</v>
      </c>
      <c r="D10" s="165">
        <f>'[5]2. Overall com progres June 13'!D10</f>
        <v>0</v>
      </c>
      <c r="E10" s="165">
        <f>'[3]2. Overall com progres June 13'!E10</f>
        <v>54</v>
      </c>
      <c r="F10" s="165">
        <f>'[6]2. Overall com progres June 13'!F10</f>
        <v>0</v>
      </c>
      <c r="G10" s="165">
        <v>8921</v>
      </c>
      <c r="H10" s="165">
        <f>'[16]2. Overall com progres Dec 12'!H10</f>
        <v>0</v>
      </c>
      <c r="I10" s="161" t="e">
        <f>#REF!</f>
        <v>#REF!</v>
      </c>
      <c r="J10" s="165">
        <f>'[10]2. Overall com progres June 13'!J10</f>
        <v>40</v>
      </c>
      <c r="K10" s="165">
        <f>'[17]2. Overall com progres June 13'!K10</f>
        <v>0</v>
      </c>
      <c r="L10" s="136">
        <f>'[8]2. Overall com progres June 13'!L10</f>
        <v>1971</v>
      </c>
      <c r="M10" s="165" t="e">
        <f>SUM(C10:L10)</f>
        <v>#REF!</v>
      </c>
      <c r="N10" s="86"/>
      <c r="O10" s="69"/>
      <c r="P10" s="64">
        <v>6</v>
      </c>
      <c r="Q10" s="64">
        <v>120</v>
      </c>
      <c r="R10" s="64" t="e">
        <f>G10-#REF!</f>
        <v>#REF!</v>
      </c>
      <c r="S10" s="64" t="e">
        <f>C10-#REF!</f>
        <v>#REF!</v>
      </c>
      <c r="T10" s="64" t="e">
        <f>D10-#REF!</f>
        <v>#REF!</v>
      </c>
      <c r="U10" s="64" t="e">
        <f>E10-#REF!</f>
        <v>#REF!</v>
      </c>
      <c r="V10" s="64" t="e">
        <f>F10-#REF!</f>
        <v>#REF!</v>
      </c>
      <c r="W10" s="64" t="e">
        <f>G10-#REF!</f>
        <v>#REF!</v>
      </c>
      <c r="X10" s="64" t="e">
        <f>H10-#REF!</f>
        <v>#REF!</v>
      </c>
      <c r="Y10" s="64" t="e">
        <f>I10-#REF!</f>
        <v>#REF!</v>
      </c>
      <c r="Z10" s="64" t="e">
        <f>J10-#REF!</f>
        <v>#REF!</v>
      </c>
      <c r="AA10" s="64" t="e">
        <f>K10-#REF!</f>
        <v>#REF!</v>
      </c>
      <c r="AB10" s="64" t="e">
        <f>L10-#REF!</f>
        <v>#REF!</v>
      </c>
      <c r="AC10" s="64" t="e">
        <f>M10-#REF!</f>
        <v>#REF!</v>
      </c>
    </row>
    <row r="11" spans="1:29" s="64" customFormat="1" x14ac:dyDescent="0.2">
      <c r="A11" s="247"/>
      <c r="B11" s="116" t="s">
        <v>17</v>
      </c>
      <c r="C11" s="166" t="e">
        <f>SUM(C8:C10)</f>
        <v>#REF!</v>
      </c>
      <c r="D11" s="166">
        <f t="shared" ref="D11:L11" si="0">SUM(D8:D10)</f>
        <v>5064</v>
      </c>
      <c r="E11" s="166">
        <f t="shared" si="0"/>
        <v>11481</v>
      </c>
      <c r="F11" s="166">
        <f t="shared" si="0"/>
        <v>2983</v>
      </c>
      <c r="G11" s="166">
        <f t="shared" si="0"/>
        <v>151374</v>
      </c>
      <c r="H11" s="166">
        <f t="shared" si="0"/>
        <v>68982</v>
      </c>
      <c r="I11" s="166" t="e">
        <f t="shared" si="0"/>
        <v>#REF!</v>
      </c>
      <c r="J11" s="166">
        <f t="shared" si="0"/>
        <v>37065</v>
      </c>
      <c r="K11" s="166">
        <f t="shared" si="0"/>
        <v>26788</v>
      </c>
      <c r="L11" s="166">
        <f t="shared" si="0"/>
        <v>16218</v>
      </c>
      <c r="M11" s="166" t="e">
        <f>SUM(M8:M10)</f>
        <v>#REF!</v>
      </c>
      <c r="N11" s="86"/>
      <c r="O11" s="69">
        <f>L11-16178</f>
        <v>40</v>
      </c>
      <c r="P11" s="64">
        <v>2</v>
      </c>
      <c r="Q11" s="64">
        <v>40</v>
      </c>
      <c r="R11" s="64" t="e">
        <f>G11-#REF!</f>
        <v>#REF!</v>
      </c>
      <c r="S11" s="64" t="e">
        <f>C11-#REF!</f>
        <v>#REF!</v>
      </c>
      <c r="T11" s="64" t="e">
        <f>D11-#REF!</f>
        <v>#REF!</v>
      </c>
      <c r="U11" s="64" t="e">
        <f>E11-#REF!</f>
        <v>#REF!</v>
      </c>
      <c r="V11" s="64" t="e">
        <f>F11-#REF!</f>
        <v>#REF!</v>
      </c>
      <c r="W11" s="64" t="e">
        <f>G11-#REF!</f>
        <v>#REF!</v>
      </c>
      <c r="X11" s="64" t="e">
        <f>H11-#REF!</f>
        <v>#REF!</v>
      </c>
      <c r="Y11" s="64" t="e">
        <f>I11-#REF!</f>
        <v>#REF!</v>
      </c>
      <c r="Z11" s="64" t="e">
        <f>J11-#REF!</f>
        <v>#REF!</v>
      </c>
      <c r="AA11" s="64" t="e">
        <f>K11-#REF!</f>
        <v>#REF!</v>
      </c>
      <c r="AB11" s="64" t="e">
        <f>L11-#REF!</f>
        <v>#REF!</v>
      </c>
      <c r="AC11" s="64" t="e">
        <f>M11-#REF!</f>
        <v>#REF!</v>
      </c>
    </row>
    <row r="12" spans="1:29" s="64" customFormat="1" x14ac:dyDescent="0.2">
      <c r="A12" s="265" t="s">
        <v>18</v>
      </c>
      <c r="B12" s="114" t="s">
        <v>19</v>
      </c>
      <c r="C12" s="165" t="e">
        <f>#REF!</f>
        <v>#REF!</v>
      </c>
      <c r="D12" s="165">
        <f>'[5]2. Overall com progres June 13'!D12</f>
        <v>84455</v>
      </c>
      <c r="E12" s="165">
        <f>'[3]2. Overall com progres June 13'!E12</f>
        <v>57821</v>
      </c>
      <c r="F12" s="165">
        <f>'[6]2. Overall com progres June 13'!F12</f>
        <v>27448</v>
      </c>
      <c r="G12" s="165">
        <v>1253303</v>
      </c>
      <c r="H12" s="165">
        <f>'[16]2. Overall com progres Dec 12'!H12</f>
        <v>463722</v>
      </c>
      <c r="I12" s="161" t="e">
        <f>#REF!</f>
        <v>#REF!</v>
      </c>
      <c r="J12" s="165">
        <f>'[10]2. Overall com progres June 13'!J12</f>
        <v>553067</v>
      </c>
      <c r="K12" s="165">
        <f>'[17]2. Overall com progres June 13'!K12</f>
        <v>209535</v>
      </c>
      <c r="L12" s="136">
        <f>'[8]2. Overall com progres June 13'!L12</f>
        <v>175958</v>
      </c>
      <c r="M12" s="165" t="e">
        <f>SUM(C12:L12)</f>
        <v>#REF!</v>
      </c>
      <c r="N12" s="120" t="e">
        <f>M12/M14%</f>
        <v>#REF!</v>
      </c>
      <c r="O12" s="69"/>
      <c r="Q12" s="64">
        <f>SUM(Q9:Q11)</f>
        <v>502</v>
      </c>
      <c r="R12" s="64" t="e">
        <f>G12-#REF!</f>
        <v>#REF!</v>
      </c>
      <c r="S12" s="64" t="e">
        <f>C12-#REF!</f>
        <v>#REF!</v>
      </c>
      <c r="T12" s="64" t="e">
        <f>D12-#REF!</f>
        <v>#REF!</v>
      </c>
      <c r="U12" s="64" t="e">
        <f>E12-#REF!</f>
        <v>#REF!</v>
      </c>
      <c r="V12" s="64" t="e">
        <f>F12-#REF!</f>
        <v>#REF!</v>
      </c>
      <c r="W12" s="64" t="e">
        <f>G12-#REF!</f>
        <v>#REF!</v>
      </c>
      <c r="X12" s="64" t="e">
        <f>H12-#REF!</f>
        <v>#REF!</v>
      </c>
      <c r="Y12" s="64" t="e">
        <f>I12-#REF!</f>
        <v>#REF!</v>
      </c>
      <c r="Z12" s="64" t="e">
        <f>J12-#REF!</f>
        <v>#REF!</v>
      </c>
      <c r="AA12" s="64" t="e">
        <f>K12-#REF!</f>
        <v>#REF!</v>
      </c>
      <c r="AB12" s="64" t="e">
        <f>L12-#REF!</f>
        <v>#REF!</v>
      </c>
      <c r="AC12" s="64" t="e">
        <f>M12-#REF!</f>
        <v>#REF!</v>
      </c>
    </row>
    <row r="13" spans="1:29" s="64" customFormat="1" x14ac:dyDescent="0.2">
      <c r="A13" s="265"/>
      <c r="B13" s="115" t="s">
        <v>20</v>
      </c>
      <c r="C13" s="165" t="e">
        <f>#REF!</f>
        <v>#REF!</v>
      </c>
      <c r="D13" s="165">
        <f>'[5]2. Overall com progres June 13'!D13</f>
        <v>121509</v>
      </c>
      <c r="E13" s="165">
        <f>'[3]2. Overall com progres June 13'!E13</f>
        <v>131003</v>
      </c>
      <c r="F13" s="165">
        <f>'[6]2. Overall com progres June 13'!F13</f>
        <v>25070</v>
      </c>
      <c r="G13" s="165">
        <v>1035522</v>
      </c>
      <c r="H13" s="165">
        <f>'[16]2. Overall com progres Dec 12'!H13</f>
        <v>697339</v>
      </c>
      <c r="I13" s="161" t="e">
        <f>#REF!</f>
        <v>#REF!</v>
      </c>
      <c r="J13" s="165">
        <f>'[10]2. Overall com progres June 13'!J13</f>
        <v>38662</v>
      </c>
      <c r="K13" s="165">
        <f>'[17]2. Overall com progres June 13'!K13</f>
        <v>436739</v>
      </c>
      <c r="L13" s="136">
        <f>'[8]2. Overall com progres June 13'!L13</f>
        <v>138952</v>
      </c>
      <c r="M13" s="165" t="e">
        <f>SUM(C13:L13)</f>
        <v>#REF!</v>
      </c>
      <c r="N13" s="86"/>
      <c r="O13" s="69"/>
      <c r="R13" s="64" t="e">
        <f>G13-#REF!</f>
        <v>#REF!</v>
      </c>
      <c r="S13" s="64" t="e">
        <f>C13-#REF!</f>
        <v>#REF!</v>
      </c>
      <c r="T13" s="64" t="e">
        <f>D13-#REF!</f>
        <v>#REF!</v>
      </c>
      <c r="U13" s="64" t="e">
        <f>E13-#REF!</f>
        <v>#REF!</v>
      </c>
      <c r="V13" s="64" t="e">
        <f>F13-#REF!</f>
        <v>#REF!</v>
      </c>
      <c r="W13" s="64" t="e">
        <f>G13-#REF!</f>
        <v>#REF!</v>
      </c>
      <c r="X13" s="64" t="e">
        <f>H13-#REF!</f>
        <v>#REF!</v>
      </c>
      <c r="Y13" s="64" t="e">
        <f>I13-#REF!</f>
        <v>#REF!</v>
      </c>
      <c r="Z13" s="64" t="e">
        <f>J13-#REF!</f>
        <v>#REF!</v>
      </c>
      <c r="AA13" s="64" t="e">
        <f>K13-#REF!</f>
        <v>#REF!</v>
      </c>
      <c r="AB13" s="64" t="e">
        <f>L13-#REF!</f>
        <v>#REF!</v>
      </c>
      <c r="AC13" s="64" t="e">
        <f>M13-#REF!</f>
        <v>#REF!</v>
      </c>
    </row>
    <row r="14" spans="1:29" s="64" customFormat="1" x14ac:dyDescent="0.2">
      <c r="A14" s="265"/>
      <c r="B14" s="117" t="s">
        <v>17</v>
      </c>
      <c r="C14" s="166" t="e">
        <f>SUM(C12:C13)</f>
        <v>#REF!</v>
      </c>
      <c r="D14" s="166">
        <f t="shared" ref="D14:M14" si="1">SUM(D12:D13)</f>
        <v>205964</v>
      </c>
      <c r="E14" s="166">
        <f t="shared" si="1"/>
        <v>188824</v>
      </c>
      <c r="F14" s="166">
        <f t="shared" si="1"/>
        <v>52518</v>
      </c>
      <c r="G14" s="166">
        <f t="shared" si="1"/>
        <v>2288825</v>
      </c>
      <c r="H14" s="166">
        <f t="shared" si="1"/>
        <v>1161061</v>
      </c>
      <c r="I14" s="166" t="e">
        <f t="shared" si="1"/>
        <v>#REF!</v>
      </c>
      <c r="J14" s="166">
        <f t="shared" si="1"/>
        <v>591729</v>
      </c>
      <c r="K14" s="166">
        <f t="shared" si="1"/>
        <v>646274</v>
      </c>
      <c r="L14" s="166">
        <f t="shared" si="1"/>
        <v>314910</v>
      </c>
      <c r="M14" s="166" t="e">
        <f t="shared" si="1"/>
        <v>#REF!</v>
      </c>
      <c r="N14" s="87" t="e">
        <f>M14/1000000</f>
        <v>#REF!</v>
      </c>
      <c r="O14" s="69">
        <f>L14-314221</f>
        <v>689</v>
      </c>
      <c r="R14" s="64" t="e">
        <f>G14-#REF!</f>
        <v>#REF!</v>
      </c>
      <c r="S14" s="64" t="e">
        <f>C14-#REF!</f>
        <v>#REF!</v>
      </c>
      <c r="T14" s="64" t="e">
        <f>D14-#REF!</f>
        <v>#REF!</v>
      </c>
      <c r="U14" s="64" t="e">
        <f>E14-#REF!</f>
        <v>#REF!</v>
      </c>
      <c r="V14" s="64" t="e">
        <f>F14-#REF!</f>
        <v>#REF!</v>
      </c>
      <c r="W14" s="64" t="e">
        <f>G14-#REF!</f>
        <v>#REF!</v>
      </c>
      <c r="X14" s="64" t="e">
        <f>H14-#REF!</f>
        <v>#REF!</v>
      </c>
      <c r="Y14" s="64" t="e">
        <f>I14-#REF!</f>
        <v>#REF!</v>
      </c>
      <c r="Z14" s="64" t="e">
        <f>J14-#REF!</f>
        <v>#REF!</v>
      </c>
      <c r="AA14" s="64" t="e">
        <f>K14-#REF!</f>
        <v>#REF!</v>
      </c>
      <c r="AB14" s="64" t="e">
        <f>L14-#REF!</f>
        <v>#REF!</v>
      </c>
      <c r="AC14" s="64" t="e">
        <f>M14-#REF!</f>
        <v>#REF!</v>
      </c>
    </row>
    <row r="15" spans="1:29" s="68" customFormat="1" x14ac:dyDescent="0.2">
      <c r="A15" s="266" t="s">
        <v>246</v>
      </c>
      <c r="B15" s="118" t="s">
        <v>19</v>
      </c>
      <c r="C15" s="165" t="e">
        <f>#REF!</f>
        <v>#REF!</v>
      </c>
      <c r="D15" s="165">
        <f>'[5]2. Overall com progres June 13'!D15</f>
        <v>129.43899999999999</v>
      </c>
      <c r="E15" s="165">
        <f>'[3]2. Overall com progres June 13'!E15</f>
        <v>5.45</v>
      </c>
      <c r="F15" s="165">
        <f>'[6]2. Overall com progres June 13'!F15</f>
        <v>4.2</v>
      </c>
      <c r="G15" s="165">
        <v>225.11113625000002</v>
      </c>
      <c r="H15" s="165">
        <f>'[16]2. Overall com progres Dec 12'!H15</f>
        <v>56.366999999999997</v>
      </c>
      <c r="I15" s="161" t="e">
        <f>#REF!</f>
        <v>#REF!</v>
      </c>
      <c r="J15" s="165">
        <f>'[10]2. Overall com progres June 13'!J15</f>
        <v>110</v>
      </c>
      <c r="K15" s="165">
        <f>'[17]2. Overall com progres June 13'!K15</f>
        <v>38</v>
      </c>
      <c r="L15" s="136">
        <f>'[8]2. Overall com progres June 13'!L15</f>
        <v>81.540000000000006</v>
      </c>
      <c r="M15" s="165" t="e">
        <f>SUM(C15:L15)</f>
        <v>#REF!</v>
      </c>
      <c r="N15" s="86"/>
      <c r="O15" s="69"/>
      <c r="P15" s="68">
        <v>742335</v>
      </c>
      <c r="R15" s="64" t="e">
        <f>G15-#REF!</f>
        <v>#REF!</v>
      </c>
      <c r="S15" s="64" t="e">
        <f>C15-#REF!</f>
        <v>#REF!</v>
      </c>
      <c r="T15" s="64" t="e">
        <f>D15-#REF!</f>
        <v>#REF!</v>
      </c>
      <c r="U15" s="64" t="e">
        <f>E15-#REF!</f>
        <v>#REF!</v>
      </c>
      <c r="V15" s="64" t="e">
        <f>F15-#REF!</f>
        <v>#REF!</v>
      </c>
      <c r="W15" s="64" t="e">
        <f>G15-#REF!</f>
        <v>#REF!</v>
      </c>
      <c r="X15" s="64" t="e">
        <f>H15-#REF!</f>
        <v>#REF!</v>
      </c>
      <c r="Y15" s="64" t="e">
        <f>I15-#REF!</f>
        <v>#REF!</v>
      </c>
      <c r="Z15" s="64" t="e">
        <f>J15-#REF!</f>
        <v>#REF!</v>
      </c>
      <c r="AA15" s="64" t="e">
        <f>K15-#REF!</f>
        <v>#REF!</v>
      </c>
      <c r="AB15" s="64" t="e">
        <f>L15-#REF!</f>
        <v>#REF!</v>
      </c>
      <c r="AC15" s="64" t="e">
        <f>M15-#REF!</f>
        <v>#REF!</v>
      </c>
    </row>
    <row r="16" spans="1:29" s="68" customFormat="1" x14ac:dyDescent="0.2">
      <c r="A16" s="266"/>
      <c r="B16" s="111" t="s">
        <v>20</v>
      </c>
      <c r="C16" s="165" t="e">
        <f>#REF!</f>
        <v>#REF!</v>
      </c>
      <c r="D16" s="165">
        <f>'[5]2. Overall com progres June 13'!D16</f>
        <v>371.08199999999999</v>
      </c>
      <c r="E16" s="165">
        <f>'[3]2. Overall com progres June 13'!E16</f>
        <v>8.7799999999999994</v>
      </c>
      <c r="F16" s="165">
        <f>'[6]2. Overall com progres June 13'!F16</f>
        <v>5.0599999999999996</v>
      </c>
      <c r="G16" s="165">
        <v>1126.7312577499999</v>
      </c>
      <c r="H16" s="165">
        <f>'[16]2. Overall com progres Dec 12'!H16</f>
        <v>63.838999999999999</v>
      </c>
      <c r="I16" s="161" t="e">
        <f>#REF!</f>
        <v>#REF!</v>
      </c>
      <c r="J16" s="165">
        <f>'[10]2. Overall com progres June 13'!J16</f>
        <v>7</v>
      </c>
      <c r="K16" s="165">
        <f>'[17]2. Overall com progres June 13'!K16</f>
        <v>96</v>
      </c>
      <c r="L16" s="136">
        <f>'[8]2. Overall com progres June 13'!L16</f>
        <v>119.78</v>
      </c>
      <c r="M16" s="165" t="e">
        <f>SUM(C16:L16)</f>
        <v>#REF!</v>
      </c>
      <c r="N16" s="86"/>
      <c r="O16" s="69"/>
      <c r="P16" s="68">
        <f>P15/1000000</f>
        <v>0.74233499999999997</v>
      </c>
      <c r="R16" s="64" t="e">
        <f>G16-#REF!</f>
        <v>#REF!</v>
      </c>
      <c r="S16" s="64" t="e">
        <f>C16-#REF!</f>
        <v>#REF!</v>
      </c>
      <c r="T16" s="64" t="e">
        <f>D16-#REF!</f>
        <v>#REF!</v>
      </c>
      <c r="U16" s="64" t="e">
        <f>E16-#REF!</f>
        <v>#REF!</v>
      </c>
      <c r="V16" s="64" t="e">
        <f>F16-#REF!</f>
        <v>#REF!</v>
      </c>
      <c r="W16" s="64" t="e">
        <f>G16-#REF!</f>
        <v>#REF!</v>
      </c>
      <c r="X16" s="64" t="e">
        <f>H16-#REF!</f>
        <v>#REF!</v>
      </c>
      <c r="Y16" s="64" t="e">
        <f>I16-#REF!</f>
        <v>#REF!</v>
      </c>
      <c r="Z16" s="64" t="e">
        <f>J16-#REF!</f>
        <v>#REF!</v>
      </c>
      <c r="AA16" s="64" t="e">
        <f>K16-#REF!</f>
        <v>#REF!</v>
      </c>
      <c r="AB16" s="64" t="e">
        <f>L16-#REF!</f>
        <v>#REF!</v>
      </c>
      <c r="AC16" s="64" t="e">
        <f>M16-#REF!</f>
        <v>#REF!</v>
      </c>
    </row>
    <row r="17" spans="1:29" s="68" customFormat="1" x14ac:dyDescent="0.2">
      <c r="A17" s="266"/>
      <c r="B17" s="117" t="s">
        <v>17</v>
      </c>
      <c r="C17" s="166" t="e">
        <f>SUM(C15:C16)</f>
        <v>#REF!</v>
      </c>
      <c r="D17" s="166">
        <f t="shared" ref="D17:M17" si="2">SUM(D15:D16)</f>
        <v>500.52099999999996</v>
      </c>
      <c r="E17" s="166">
        <f t="shared" si="2"/>
        <v>14.23</v>
      </c>
      <c r="F17" s="166">
        <f t="shared" si="2"/>
        <v>9.26</v>
      </c>
      <c r="G17" s="166">
        <f t="shared" si="2"/>
        <v>1351.842394</v>
      </c>
      <c r="H17" s="166">
        <f t="shared" si="2"/>
        <v>120.20599999999999</v>
      </c>
      <c r="I17" s="166" t="e">
        <f t="shared" si="2"/>
        <v>#REF!</v>
      </c>
      <c r="J17" s="166">
        <f t="shared" si="2"/>
        <v>117</v>
      </c>
      <c r="K17" s="166">
        <f t="shared" si="2"/>
        <v>134</v>
      </c>
      <c r="L17" s="175">
        <f t="shared" si="2"/>
        <v>201.32</v>
      </c>
      <c r="M17" s="166" t="e">
        <f t="shared" si="2"/>
        <v>#REF!</v>
      </c>
      <c r="N17" s="86"/>
      <c r="O17" s="69"/>
      <c r="R17" s="64" t="e">
        <f>G17-#REF!</f>
        <v>#REF!</v>
      </c>
      <c r="S17" s="64" t="e">
        <f>C17-#REF!</f>
        <v>#REF!</v>
      </c>
      <c r="T17" s="64" t="e">
        <f>D17-#REF!</f>
        <v>#REF!</v>
      </c>
      <c r="U17" s="64" t="e">
        <f>E17-#REF!</f>
        <v>#REF!</v>
      </c>
      <c r="V17" s="64" t="e">
        <f>F17-#REF!</f>
        <v>#REF!</v>
      </c>
      <c r="W17" s="64" t="e">
        <f>G17-#REF!</f>
        <v>#REF!</v>
      </c>
      <c r="X17" s="64" t="e">
        <f>H17-#REF!</f>
        <v>#REF!</v>
      </c>
      <c r="Y17" s="64" t="e">
        <f>I17-#REF!</f>
        <v>#REF!</v>
      </c>
      <c r="Z17" s="64" t="e">
        <f>J17-#REF!</f>
        <v>#REF!</v>
      </c>
      <c r="AA17" s="64" t="e">
        <f>K17-#REF!</f>
        <v>#REF!</v>
      </c>
      <c r="AB17" s="64" t="e">
        <f>L17-#REF!</f>
        <v>#REF!</v>
      </c>
      <c r="AC17" s="64" t="e">
        <f>M17-#REF!</f>
        <v>#REF!</v>
      </c>
    </row>
    <row r="18" spans="1:29" s="64" customFormat="1" x14ac:dyDescent="0.2">
      <c r="A18" s="247" t="s">
        <v>21</v>
      </c>
      <c r="B18" s="114" t="s">
        <v>19</v>
      </c>
      <c r="C18" s="165" t="e">
        <f>#REF!</f>
        <v>#REF!</v>
      </c>
      <c r="D18" s="165">
        <f>'[5]2. Overall com progres June 13'!D18</f>
        <v>58754</v>
      </c>
      <c r="E18" s="165">
        <f>'[3]2. Overall com progres June 13'!E18</f>
        <v>47681</v>
      </c>
      <c r="F18" s="165">
        <f>'[6]2. Overall com progres June 13'!F18</f>
        <v>11579</v>
      </c>
      <c r="G18" s="165">
        <v>1127009</v>
      </c>
      <c r="H18" s="165">
        <f>'[16]2. Overall com progres Dec 12'!H18</f>
        <v>142125</v>
      </c>
      <c r="I18" s="161" t="e">
        <f>#REF!</f>
        <v>#REF!</v>
      </c>
      <c r="J18" s="165">
        <f>'[10]2. Overall com progres June 13'!J18</f>
        <v>226024</v>
      </c>
      <c r="K18" s="165">
        <f>'[17]2. Overall com progres June 13'!K18</f>
        <v>57095</v>
      </c>
      <c r="L18" s="136">
        <f>'[8]2. Overall com progres June 13'!L18</f>
        <v>90761</v>
      </c>
      <c r="M18" s="165" t="e">
        <f>SUM(C18:L18)</f>
        <v>#REF!</v>
      </c>
      <c r="N18" s="68" t="e">
        <f>M18/1000000</f>
        <v>#REF!</v>
      </c>
      <c r="O18" s="68" t="e">
        <f>M18/M20%</f>
        <v>#REF!</v>
      </c>
      <c r="R18" s="64" t="e">
        <f>G18-#REF!</f>
        <v>#REF!</v>
      </c>
      <c r="S18" s="64" t="e">
        <f>C18-#REF!</f>
        <v>#REF!</v>
      </c>
      <c r="T18" s="64" t="e">
        <f>D18-#REF!</f>
        <v>#REF!</v>
      </c>
      <c r="U18" s="64" t="e">
        <f>E18-#REF!</f>
        <v>#REF!</v>
      </c>
      <c r="V18" s="64" t="e">
        <f>F18-#REF!</f>
        <v>#REF!</v>
      </c>
      <c r="W18" s="64" t="e">
        <f>G18-#REF!</f>
        <v>#REF!</v>
      </c>
      <c r="X18" s="64" t="e">
        <f>H18-#REF!</f>
        <v>#REF!</v>
      </c>
      <c r="Y18" s="64" t="e">
        <f>I18-#REF!</f>
        <v>#REF!</v>
      </c>
      <c r="Z18" s="64" t="e">
        <f>J18-#REF!</f>
        <v>#REF!</v>
      </c>
      <c r="AA18" s="64" t="e">
        <f>K18-#REF!</f>
        <v>#REF!</v>
      </c>
      <c r="AB18" s="64" t="e">
        <f>L18-#REF!</f>
        <v>#REF!</v>
      </c>
      <c r="AC18" s="64" t="e">
        <f>M18-#REF!</f>
        <v>#REF!</v>
      </c>
    </row>
    <row r="19" spans="1:29" s="64" customFormat="1" x14ac:dyDescent="0.2">
      <c r="A19" s="247"/>
      <c r="B19" s="115" t="s">
        <v>20</v>
      </c>
      <c r="C19" s="165" t="e">
        <f>#REF!</f>
        <v>#REF!</v>
      </c>
      <c r="D19" s="165">
        <f>'[5]2. Overall com progres June 13'!D19</f>
        <v>27804</v>
      </c>
      <c r="E19" s="165">
        <f>'[3]2. Overall com progres June 13'!E19</f>
        <v>112479</v>
      </c>
      <c r="F19" s="165">
        <f>'[6]2. Overall com progres June 13'!F19</f>
        <v>3976</v>
      </c>
      <c r="G19" s="165">
        <v>945555</v>
      </c>
      <c r="H19" s="165">
        <f>'[16]2. Overall com progres Dec 12'!H19</f>
        <v>324580</v>
      </c>
      <c r="I19" s="161" t="e">
        <f>#REF!</f>
        <v>#REF!</v>
      </c>
      <c r="J19" s="165">
        <f>'[10]2. Overall com progres June 13'!J19</f>
        <v>13129</v>
      </c>
      <c r="K19" s="165">
        <f>'[17]2. Overall com progres June 13'!K19</f>
        <v>87178</v>
      </c>
      <c r="L19" s="136">
        <f>'[8]2. Overall com progres June 13'!L19</f>
        <v>90375</v>
      </c>
      <c r="M19" s="165" t="e">
        <f>SUM(C19:L19)</f>
        <v>#REF!</v>
      </c>
      <c r="N19" s="86"/>
      <c r="O19" s="69"/>
      <c r="R19" s="64" t="e">
        <f>G19-#REF!</f>
        <v>#REF!</v>
      </c>
      <c r="S19" s="64" t="e">
        <f>C19-#REF!</f>
        <v>#REF!</v>
      </c>
      <c r="T19" s="64" t="e">
        <f>D19-#REF!</f>
        <v>#REF!</v>
      </c>
      <c r="U19" s="64" t="e">
        <f>E19-#REF!</f>
        <v>#REF!</v>
      </c>
      <c r="V19" s="64" t="e">
        <f>F19-#REF!</f>
        <v>#REF!</v>
      </c>
      <c r="W19" s="64" t="e">
        <f>G19-#REF!</f>
        <v>#REF!</v>
      </c>
      <c r="X19" s="64" t="e">
        <f>H19-#REF!</f>
        <v>#REF!</v>
      </c>
      <c r="Y19" s="64" t="e">
        <f>I19-#REF!</f>
        <v>#REF!</v>
      </c>
      <c r="Z19" s="64" t="e">
        <f>J19-#REF!</f>
        <v>#REF!</v>
      </c>
      <c r="AA19" s="64" t="e">
        <f>K19-#REF!</f>
        <v>#REF!</v>
      </c>
      <c r="AB19" s="64" t="e">
        <f>L19-#REF!</f>
        <v>#REF!</v>
      </c>
      <c r="AC19" s="64" t="e">
        <f>M19-#REF!</f>
        <v>#REF!</v>
      </c>
    </row>
    <row r="20" spans="1:29" s="64" customFormat="1" x14ac:dyDescent="0.2">
      <c r="A20" s="247"/>
      <c r="B20" s="116" t="s">
        <v>17</v>
      </c>
      <c r="C20" s="166" t="e">
        <f>SUM(C18:C19)</f>
        <v>#REF!</v>
      </c>
      <c r="D20" s="166">
        <f t="shared" ref="D20:M20" si="3">SUM(D18:D19)</f>
        <v>86558</v>
      </c>
      <c r="E20" s="166">
        <f t="shared" si="3"/>
        <v>160160</v>
      </c>
      <c r="F20" s="166">
        <f t="shared" si="3"/>
        <v>15555</v>
      </c>
      <c r="G20" s="166">
        <f t="shared" si="3"/>
        <v>2072564</v>
      </c>
      <c r="H20" s="166">
        <f t="shared" si="3"/>
        <v>466705</v>
      </c>
      <c r="I20" s="166" t="e">
        <f t="shared" si="3"/>
        <v>#REF!</v>
      </c>
      <c r="J20" s="166">
        <f t="shared" si="3"/>
        <v>239153</v>
      </c>
      <c r="K20" s="166">
        <f t="shared" si="3"/>
        <v>144273</v>
      </c>
      <c r="L20" s="166">
        <f t="shared" si="3"/>
        <v>181136</v>
      </c>
      <c r="M20" s="166" t="e">
        <f t="shared" si="3"/>
        <v>#REF!</v>
      </c>
      <c r="N20" s="68" t="e">
        <f>M20/1000000</f>
        <v>#REF!</v>
      </c>
      <c r="O20" s="69"/>
      <c r="R20" s="64" t="e">
        <f>G20-#REF!</f>
        <v>#REF!</v>
      </c>
      <c r="S20" s="64" t="e">
        <f>C20-#REF!</f>
        <v>#REF!</v>
      </c>
      <c r="T20" s="64" t="e">
        <f>D20-#REF!</f>
        <v>#REF!</v>
      </c>
      <c r="U20" s="64" t="e">
        <f>E20-#REF!</f>
        <v>#REF!</v>
      </c>
      <c r="V20" s="64" t="e">
        <f>F20-#REF!</f>
        <v>#REF!</v>
      </c>
      <c r="W20" s="64" t="e">
        <f>G20-#REF!</f>
        <v>#REF!</v>
      </c>
      <c r="X20" s="64" t="e">
        <f>H20-#REF!</f>
        <v>#REF!</v>
      </c>
      <c r="Y20" s="64" t="e">
        <f>I20-#REF!</f>
        <v>#REF!</v>
      </c>
      <c r="Z20" s="64" t="e">
        <f>J20-#REF!</f>
        <v>#REF!</v>
      </c>
      <c r="AA20" s="64" t="e">
        <f>K20-#REF!</f>
        <v>#REF!</v>
      </c>
      <c r="AB20" s="64" t="e">
        <f>L20-#REF!</f>
        <v>#REF!</v>
      </c>
      <c r="AC20" s="64" t="e">
        <f>M20-#REF!</f>
        <v>#REF!</v>
      </c>
    </row>
    <row r="21" spans="1:29" s="64" customFormat="1" x14ac:dyDescent="0.2">
      <c r="A21" s="243" t="s">
        <v>223</v>
      </c>
      <c r="B21" s="115" t="s">
        <v>220</v>
      </c>
      <c r="C21" s="165" t="e">
        <f>#REF!</f>
        <v>#REF!</v>
      </c>
      <c r="D21" s="165">
        <f>'[5]2. Overall com progres June 13'!D21</f>
        <v>12</v>
      </c>
      <c r="E21" s="165">
        <f>'[3]2. Overall com progres June 13'!E21</f>
        <v>2</v>
      </c>
      <c r="F21" s="165">
        <f>'[6]2. Overall com progres June 13'!F21</f>
        <v>2</v>
      </c>
      <c r="G21" s="165">
        <v>173</v>
      </c>
      <c r="H21" s="165">
        <f>'[16]2. Overall com progres Dec 12'!H21</f>
        <v>2</v>
      </c>
      <c r="I21" s="161" t="e">
        <f>#REF!</f>
        <v>#REF!</v>
      </c>
      <c r="J21" s="165">
        <f>'[10]2. Overall com progres June 13'!J21</f>
        <v>17</v>
      </c>
      <c r="K21" s="165">
        <f>'[17]2. Overall com progres June 13'!K21</f>
        <v>0</v>
      </c>
      <c r="L21" s="136">
        <f>'[8]2. Overall com progres June 13'!L21</f>
        <v>8</v>
      </c>
      <c r="M21" s="165" t="e">
        <f t="shared" ref="M21:M26" si="4">SUM(C21:L21)</f>
        <v>#REF!</v>
      </c>
      <c r="N21" s="86"/>
      <c r="O21" s="69"/>
      <c r="R21" s="64" t="e">
        <f>G21-#REF!</f>
        <v>#REF!</v>
      </c>
      <c r="S21" s="64" t="e">
        <f>C21-#REF!</f>
        <v>#REF!</v>
      </c>
      <c r="T21" s="64" t="e">
        <f>D21-#REF!</f>
        <v>#REF!</v>
      </c>
      <c r="U21" s="64" t="e">
        <f>E21-#REF!</f>
        <v>#REF!</v>
      </c>
      <c r="V21" s="64" t="e">
        <f>F21-#REF!</f>
        <v>#REF!</v>
      </c>
      <c r="W21" s="64" t="e">
        <f>G21-#REF!</f>
        <v>#REF!</v>
      </c>
      <c r="X21" s="64" t="e">
        <f>H21-#REF!</f>
        <v>#REF!</v>
      </c>
      <c r="Y21" s="64" t="e">
        <f>I21-#REF!</f>
        <v>#REF!</v>
      </c>
      <c r="Z21" s="64" t="e">
        <f>J21-#REF!</f>
        <v>#REF!</v>
      </c>
      <c r="AA21" s="64" t="e">
        <f>K21-#REF!</f>
        <v>#REF!</v>
      </c>
      <c r="AB21" s="64" t="e">
        <f>L21-#REF!</f>
        <v>#REF!</v>
      </c>
      <c r="AC21" s="64" t="e">
        <f>M21-#REF!</f>
        <v>#REF!</v>
      </c>
    </row>
    <row r="22" spans="1:29" s="64" customFormat="1" x14ac:dyDescent="0.2">
      <c r="A22" s="244"/>
      <c r="B22" s="115" t="s">
        <v>221</v>
      </c>
      <c r="C22" s="165" t="e">
        <f>#REF!</f>
        <v>#REF!</v>
      </c>
      <c r="D22" s="165">
        <f>'[5]2. Overall com progres June 13'!D22</f>
        <v>0</v>
      </c>
      <c r="E22" s="165">
        <f>'[3]2. Overall com progres June 13'!E22</f>
        <v>0</v>
      </c>
      <c r="F22" s="165">
        <f>'[6]2. Overall com progres June 13'!F22</f>
        <v>5</v>
      </c>
      <c r="G22" s="165">
        <v>65</v>
      </c>
      <c r="H22" s="165">
        <f>'[16]2. Overall com progres Dec 12'!H22</f>
        <v>38</v>
      </c>
      <c r="I22" s="161" t="e">
        <f>#REF!</f>
        <v>#REF!</v>
      </c>
      <c r="J22" s="165">
        <f>'[10]2. Overall com progres June 13'!J22</f>
        <v>3528</v>
      </c>
      <c r="K22" s="165">
        <f>'[17]2. Overall com progres June 13'!K22</f>
        <v>291</v>
      </c>
      <c r="L22" s="136">
        <f>'[8]2. Overall com progres June 13'!L22</f>
        <v>1307</v>
      </c>
      <c r="M22" s="165" t="e">
        <f t="shared" si="4"/>
        <v>#REF!</v>
      </c>
      <c r="N22" s="86"/>
      <c r="O22" s="69"/>
      <c r="R22" s="64" t="e">
        <f>G22-#REF!</f>
        <v>#REF!</v>
      </c>
      <c r="S22" s="64" t="e">
        <f>C22-#REF!</f>
        <v>#REF!</v>
      </c>
      <c r="T22" s="64" t="e">
        <f>D22-#REF!</f>
        <v>#REF!</v>
      </c>
      <c r="U22" s="64" t="e">
        <f>E22-#REF!</f>
        <v>#REF!</v>
      </c>
      <c r="V22" s="64" t="e">
        <f>F22-#REF!</f>
        <v>#REF!</v>
      </c>
      <c r="W22" s="64" t="e">
        <f>G22-#REF!</f>
        <v>#REF!</v>
      </c>
      <c r="X22" s="64" t="e">
        <f>H22-#REF!</f>
        <v>#REF!</v>
      </c>
      <c r="Y22" s="64" t="e">
        <f>I22-#REF!</f>
        <v>#REF!</v>
      </c>
      <c r="Z22" s="64" t="e">
        <f>J22-#REF!</f>
        <v>#REF!</v>
      </c>
      <c r="AA22" s="64" t="e">
        <f>K22-#REF!</f>
        <v>#REF!</v>
      </c>
      <c r="AB22" s="64" t="e">
        <f>L22-#REF!</f>
        <v>#REF!</v>
      </c>
      <c r="AC22" s="64" t="e">
        <f>M22-#REF!</f>
        <v>#REF!</v>
      </c>
    </row>
    <row r="23" spans="1:29" s="64" customFormat="1" x14ac:dyDescent="0.2">
      <c r="A23" s="244"/>
      <c r="B23" s="115" t="s">
        <v>222</v>
      </c>
      <c r="C23" s="165" t="e">
        <f>#REF!</f>
        <v>#REF!</v>
      </c>
      <c r="D23" s="165">
        <f>'[5]2. Overall com progres June 13'!D23</f>
        <v>2055</v>
      </c>
      <c r="E23" s="165">
        <f>'[3]2. Overall com progres June 13'!E23</f>
        <v>20</v>
      </c>
      <c r="F23" s="165">
        <f>'[6]2. Overall com progres June 13'!F23</f>
        <v>36</v>
      </c>
      <c r="G23" s="165">
        <v>21897</v>
      </c>
      <c r="H23" s="165">
        <f>'[16]2. Overall com progres Dec 12'!H23</f>
        <v>2834</v>
      </c>
      <c r="I23" s="161" t="e">
        <f>#REF!</f>
        <v>#REF!</v>
      </c>
      <c r="J23" s="165">
        <f>'[10]2. Overall com progres June 13'!J23</f>
        <v>94183</v>
      </c>
      <c r="K23" s="165">
        <f>'[17]2. Overall com progres June 13'!K23</f>
        <v>25558</v>
      </c>
      <c r="L23" s="136">
        <f>'[8]2. Overall com progres June 13'!L23</f>
        <v>17101</v>
      </c>
      <c r="M23" s="165" t="e">
        <f t="shared" si="4"/>
        <v>#REF!</v>
      </c>
      <c r="N23" s="86"/>
      <c r="O23" s="69"/>
      <c r="R23" s="64" t="e">
        <f>G23-#REF!</f>
        <v>#REF!</v>
      </c>
      <c r="S23" s="64" t="e">
        <f>C23-#REF!</f>
        <v>#REF!</v>
      </c>
      <c r="T23" s="64" t="e">
        <f>D23-#REF!</f>
        <v>#REF!</v>
      </c>
      <c r="U23" s="64" t="e">
        <f>E23-#REF!</f>
        <v>#REF!</v>
      </c>
      <c r="V23" s="64" t="e">
        <f>F23-#REF!</f>
        <v>#REF!</v>
      </c>
      <c r="W23" s="64" t="e">
        <f>G23-#REF!</f>
        <v>#REF!</v>
      </c>
      <c r="X23" s="64" t="e">
        <f>H23-#REF!</f>
        <v>#REF!</v>
      </c>
      <c r="Y23" s="64" t="e">
        <f>I23-#REF!</f>
        <v>#REF!</v>
      </c>
      <c r="Z23" s="64" t="e">
        <f>J23-#REF!</f>
        <v>#REF!</v>
      </c>
      <c r="AA23" s="64" t="e">
        <f>K23-#REF!</f>
        <v>#REF!</v>
      </c>
      <c r="AB23" s="64" t="e">
        <f>L23-#REF!</f>
        <v>#REF!</v>
      </c>
      <c r="AC23" s="64" t="e">
        <f>M23-#REF!</f>
        <v>#REF!</v>
      </c>
    </row>
    <row r="24" spans="1:29" s="64" customFormat="1" ht="25.5" x14ac:dyDescent="0.2">
      <c r="A24" s="245"/>
      <c r="B24" s="115" t="s">
        <v>224</v>
      </c>
      <c r="C24" s="165" t="e">
        <f>#REF!</f>
        <v>#REF!</v>
      </c>
      <c r="D24" s="165">
        <f>'[5]2. Overall com progres June 13'!D24</f>
        <v>16.106083000000002</v>
      </c>
      <c r="E24" s="165">
        <f>'[3]2. Overall com progres June 13'!E24</f>
        <v>1</v>
      </c>
      <c r="F24" s="165">
        <f>'[6]2. Overall com progres June 13'!F24</f>
        <v>1.1200000000000001</v>
      </c>
      <c r="G24" s="165">
        <v>269</v>
      </c>
      <c r="H24" s="165">
        <f>'[16]2. Overall com progres Dec 12'!H24</f>
        <v>30.527999999999999</v>
      </c>
      <c r="I24" s="161" t="e">
        <f>#REF!</f>
        <v>#REF!</v>
      </c>
      <c r="J24" s="165">
        <f>'[10]2. Overall com progres June 13'!J24</f>
        <v>938</v>
      </c>
      <c r="K24" s="165">
        <f>'[17]2. Overall com progres June 13'!K24</f>
        <v>293.51</v>
      </c>
      <c r="L24" s="136">
        <f>'[8]2. Overall com progres June 13'!L24</f>
        <v>228.29499999999999</v>
      </c>
      <c r="M24" s="113" t="e">
        <f t="shared" si="4"/>
        <v>#REF!</v>
      </c>
      <c r="N24" s="87" t="e">
        <f>M24/90</f>
        <v>#REF!</v>
      </c>
      <c r="O24" s="121" t="e">
        <f>M24/85</f>
        <v>#REF!</v>
      </c>
      <c r="R24" s="64" t="e">
        <f>G24-#REF!</f>
        <v>#REF!</v>
      </c>
      <c r="S24" s="64" t="e">
        <f>C24-#REF!</f>
        <v>#REF!</v>
      </c>
      <c r="T24" s="64" t="e">
        <f>D24-#REF!</f>
        <v>#REF!</v>
      </c>
      <c r="U24" s="64" t="e">
        <f>E24-#REF!</f>
        <v>#REF!</v>
      </c>
      <c r="V24" s="64" t="e">
        <f>F24-#REF!</f>
        <v>#REF!</v>
      </c>
      <c r="W24" s="64" t="e">
        <f>G24-#REF!</f>
        <v>#REF!</v>
      </c>
      <c r="X24" s="64" t="e">
        <f>H24-#REF!</f>
        <v>#REF!</v>
      </c>
      <c r="Y24" s="64" t="e">
        <f>I24-#REF!</f>
        <v>#REF!</v>
      </c>
      <c r="Z24" s="64" t="e">
        <f>J24-#REF!</f>
        <v>#REF!</v>
      </c>
      <c r="AA24" s="64" t="e">
        <f>K24-#REF!</f>
        <v>#REF!</v>
      </c>
      <c r="AB24" s="64" t="e">
        <f>L24-#REF!</f>
        <v>#REF!</v>
      </c>
      <c r="AC24" s="64" t="e">
        <f>M24-#REF!</f>
        <v>#REF!</v>
      </c>
    </row>
    <row r="25" spans="1:29" s="68" customFormat="1" x14ac:dyDescent="0.2">
      <c r="A25" s="246" t="s">
        <v>22</v>
      </c>
      <c r="B25" s="118" t="s">
        <v>19</v>
      </c>
      <c r="C25" s="165" t="e">
        <f>#REF!</f>
        <v>#REF!</v>
      </c>
      <c r="D25" s="165">
        <f>'[5]2. Overall com progres June 13'!D25</f>
        <v>195</v>
      </c>
      <c r="E25" s="165">
        <f>'[3]2. Overall com progres June 13'!E25</f>
        <v>9</v>
      </c>
      <c r="F25" s="165">
        <f>'[6]2. Overall com progres June 13'!F25</f>
        <v>320</v>
      </c>
      <c r="G25" s="165">
        <v>29068.154210000001</v>
      </c>
      <c r="H25" s="165">
        <f>'[16]2. Overall com progres Dec 12'!H25</f>
        <v>4062.9659999999999</v>
      </c>
      <c r="I25" s="161" t="e">
        <f>#REF!</f>
        <v>#REF!</v>
      </c>
      <c r="J25" s="165">
        <f>'[10]2. Overall com progres June 13'!J25</f>
        <v>3606</v>
      </c>
      <c r="K25" s="165">
        <f>'[17]2. Overall com progres June 13'!K25</f>
        <v>345.71</v>
      </c>
      <c r="L25" s="136">
        <f>'[8]2. Overall com progres June 13'!L25</f>
        <v>2678.6390000000001</v>
      </c>
      <c r="M25" s="165" t="e">
        <f t="shared" si="4"/>
        <v>#REF!</v>
      </c>
      <c r="N25" s="120" t="e">
        <f>M25/1000</f>
        <v>#REF!</v>
      </c>
      <c r="O25" s="121" t="e">
        <f>M25/85</f>
        <v>#REF!</v>
      </c>
      <c r="R25" s="64" t="e">
        <f>G25-#REF!</f>
        <v>#REF!</v>
      </c>
      <c r="S25" s="64" t="e">
        <f>C25-#REF!</f>
        <v>#REF!</v>
      </c>
      <c r="T25" s="64" t="e">
        <f>D25-#REF!</f>
        <v>#REF!</v>
      </c>
      <c r="U25" s="64" t="e">
        <f>E25-#REF!</f>
        <v>#REF!</v>
      </c>
      <c r="V25" s="64" t="e">
        <f>F25-#REF!</f>
        <v>#REF!</v>
      </c>
      <c r="W25" s="64" t="e">
        <f>G25-#REF!</f>
        <v>#REF!</v>
      </c>
      <c r="X25" s="64" t="e">
        <f>H25-#REF!</f>
        <v>#REF!</v>
      </c>
      <c r="Y25" s="64" t="e">
        <f>I25-#REF!</f>
        <v>#REF!</v>
      </c>
      <c r="Z25" s="64" t="e">
        <f>J25-#REF!</f>
        <v>#REF!</v>
      </c>
      <c r="AA25" s="64" t="e">
        <f>K25-#REF!</f>
        <v>#REF!</v>
      </c>
      <c r="AB25" s="64" t="e">
        <f>L25-#REF!</f>
        <v>#REF!</v>
      </c>
      <c r="AC25" s="64" t="e">
        <f>M25-#REF!</f>
        <v>#REF!</v>
      </c>
    </row>
    <row r="26" spans="1:29" s="68" customFormat="1" x14ac:dyDescent="0.2">
      <c r="A26" s="246"/>
      <c r="B26" s="111" t="s">
        <v>20</v>
      </c>
      <c r="C26" s="165" t="e">
        <f>#REF!</f>
        <v>#REF!</v>
      </c>
      <c r="D26" s="165">
        <f>'[5]2. Overall com progres June 13'!D26</f>
        <v>833</v>
      </c>
      <c r="E26" s="165">
        <f>'[3]2. Overall com progres June 13'!E26</f>
        <v>16</v>
      </c>
      <c r="F26" s="165">
        <f>'[6]2. Overall com progres June 13'!F26</f>
        <v>79</v>
      </c>
      <c r="G26" s="165">
        <v>42803.966701999998</v>
      </c>
      <c r="H26" s="165">
        <f>'[16]2. Overall com progres Dec 12'!H26</f>
        <v>5818.9299999999994</v>
      </c>
      <c r="I26" s="161" t="e">
        <f>#REF!</f>
        <v>#REF!</v>
      </c>
      <c r="J26" s="165">
        <f>'[10]2. Overall com progres June 13'!J26</f>
        <v>634</v>
      </c>
      <c r="K26" s="165">
        <f>'[17]2. Overall com progres June 13'!K26</f>
        <v>302.59399999999999</v>
      </c>
      <c r="L26" s="136">
        <f>'[8]2. Overall com progres June 13'!L26</f>
        <v>2698.7919999999999</v>
      </c>
      <c r="M26" s="165" t="e">
        <f t="shared" si="4"/>
        <v>#REF!</v>
      </c>
      <c r="N26" s="86"/>
      <c r="O26" s="121"/>
      <c r="R26" s="64" t="e">
        <f>G26-#REF!</f>
        <v>#REF!</v>
      </c>
      <c r="S26" s="64" t="e">
        <f>C26-#REF!</f>
        <v>#REF!</v>
      </c>
      <c r="T26" s="64" t="e">
        <f>D26-#REF!</f>
        <v>#REF!</v>
      </c>
      <c r="U26" s="64" t="e">
        <f>E26-#REF!</f>
        <v>#REF!</v>
      </c>
      <c r="V26" s="64" t="e">
        <f>F26-#REF!</f>
        <v>#REF!</v>
      </c>
      <c r="W26" s="64" t="e">
        <f>G26-#REF!</f>
        <v>#REF!</v>
      </c>
      <c r="X26" s="64" t="e">
        <f>H26-#REF!</f>
        <v>#REF!</v>
      </c>
      <c r="Y26" s="64" t="e">
        <f>I26-#REF!</f>
        <v>#REF!</v>
      </c>
      <c r="Z26" s="64" t="e">
        <f>J26-#REF!</f>
        <v>#REF!</v>
      </c>
      <c r="AA26" s="64" t="e">
        <f>K26-#REF!</f>
        <v>#REF!</v>
      </c>
      <c r="AB26" s="64" t="e">
        <f>L26-#REF!</f>
        <v>#REF!</v>
      </c>
      <c r="AC26" s="64" t="e">
        <f>M26-#REF!</f>
        <v>#REF!</v>
      </c>
    </row>
    <row r="27" spans="1:29" s="68" customFormat="1" x14ac:dyDescent="0.2">
      <c r="A27" s="246"/>
      <c r="B27" s="119" t="s">
        <v>17</v>
      </c>
      <c r="C27" s="166" t="e">
        <f>SUM(C25:C26)</f>
        <v>#REF!</v>
      </c>
      <c r="D27" s="166">
        <f t="shared" ref="D27:M27" si="5">SUM(D25:D26)</f>
        <v>1028</v>
      </c>
      <c r="E27" s="166">
        <f t="shared" si="5"/>
        <v>25</v>
      </c>
      <c r="F27" s="166">
        <f t="shared" si="5"/>
        <v>399</v>
      </c>
      <c r="G27" s="166">
        <f t="shared" si="5"/>
        <v>71872.120911999998</v>
      </c>
      <c r="H27" s="166">
        <f t="shared" si="5"/>
        <v>9881.8959999999988</v>
      </c>
      <c r="I27" s="166" t="e">
        <f t="shared" si="5"/>
        <v>#REF!</v>
      </c>
      <c r="J27" s="166">
        <f t="shared" si="5"/>
        <v>4240</v>
      </c>
      <c r="K27" s="166">
        <f t="shared" si="5"/>
        <v>648.30399999999997</v>
      </c>
      <c r="L27" s="166">
        <f t="shared" si="5"/>
        <v>5377.4310000000005</v>
      </c>
      <c r="M27" s="166" t="e">
        <f t="shared" si="5"/>
        <v>#REF!</v>
      </c>
      <c r="N27" s="120" t="e">
        <f>M27/1000</f>
        <v>#REF!</v>
      </c>
      <c r="O27" s="121" t="e">
        <f>M27/85</f>
        <v>#REF!</v>
      </c>
      <c r="R27" s="64" t="e">
        <f>G27-#REF!</f>
        <v>#REF!</v>
      </c>
      <c r="S27" s="64" t="e">
        <f>C27-#REF!</f>
        <v>#REF!</v>
      </c>
      <c r="T27" s="64" t="e">
        <f>D27-#REF!</f>
        <v>#REF!</v>
      </c>
      <c r="U27" s="64" t="e">
        <f>E27-#REF!</f>
        <v>#REF!</v>
      </c>
      <c r="V27" s="64" t="e">
        <f>F27-#REF!</f>
        <v>#REF!</v>
      </c>
      <c r="W27" s="64" t="e">
        <f>G27-#REF!</f>
        <v>#REF!</v>
      </c>
      <c r="X27" s="64" t="e">
        <f>H27-#REF!</f>
        <v>#REF!</v>
      </c>
      <c r="Y27" s="64" t="e">
        <f>I27-#REF!</f>
        <v>#REF!</v>
      </c>
      <c r="Z27" s="64" t="e">
        <f>J27-#REF!</f>
        <v>#REF!</v>
      </c>
      <c r="AA27" s="64" t="e">
        <f>K27-#REF!</f>
        <v>#REF!</v>
      </c>
      <c r="AB27" s="64" t="e">
        <f>L27-#REF!</f>
        <v>#REF!</v>
      </c>
      <c r="AC27" s="64" t="e">
        <f>M27-#REF!</f>
        <v>#REF!</v>
      </c>
    </row>
    <row r="28" spans="1:29" s="64" customFormat="1" x14ac:dyDescent="0.2">
      <c r="A28" s="247" t="s">
        <v>23</v>
      </c>
      <c r="B28" s="114" t="s">
        <v>19</v>
      </c>
      <c r="C28" s="165" t="e">
        <f>#REF!</f>
        <v>#REF!</v>
      </c>
      <c r="D28" s="165">
        <f>'[5]2. Overall com progres June 13'!D28</f>
        <v>74813</v>
      </c>
      <c r="E28" s="165">
        <f>'[3]2. Overall com progres June 13'!E28</f>
        <v>1156</v>
      </c>
      <c r="F28" s="165">
        <f>'[6]2. Overall com progres June 13'!F28</f>
        <v>21383</v>
      </c>
      <c r="G28" s="165">
        <v>1962998</v>
      </c>
      <c r="H28" s="165">
        <f>'[16]2. Overall com progres Dec 12'!H28</f>
        <v>296622</v>
      </c>
      <c r="I28" s="161" t="e">
        <f>#REF!</f>
        <v>#REF!</v>
      </c>
      <c r="J28" s="165">
        <f>'[10]2. Overall com progres June 13'!J28</f>
        <v>226391</v>
      </c>
      <c r="K28" s="165">
        <f>'[17]2. Overall com progres June 13'!K28</f>
        <v>30934</v>
      </c>
      <c r="L28" s="136">
        <f>'[8]2. Overall com progres June 13'!L28</f>
        <v>205280</v>
      </c>
      <c r="M28" s="165" t="e">
        <f>SUM(C28:L28)</f>
        <v>#REF!</v>
      </c>
      <c r="N28" s="120" t="e">
        <f>M28/1000000</f>
        <v>#REF!</v>
      </c>
      <c r="O28" s="69"/>
      <c r="R28" s="64" t="e">
        <f>G28-#REF!</f>
        <v>#REF!</v>
      </c>
      <c r="S28" s="64" t="e">
        <f>C28-#REF!</f>
        <v>#REF!</v>
      </c>
      <c r="T28" s="64" t="e">
        <f>D28-#REF!</f>
        <v>#REF!</v>
      </c>
      <c r="U28" s="64" t="e">
        <f>E28-#REF!</f>
        <v>#REF!</v>
      </c>
      <c r="V28" s="64" t="e">
        <f>F28-#REF!</f>
        <v>#REF!</v>
      </c>
      <c r="W28" s="64" t="e">
        <f>G28-#REF!</f>
        <v>#REF!</v>
      </c>
      <c r="X28" s="64" t="e">
        <f>H28-#REF!</f>
        <v>#REF!</v>
      </c>
      <c r="Y28" s="64" t="e">
        <f>I28-#REF!</f>
        <v>#REF!</v>
      </c>
      <c r="Z28" s="64" t="e">
        <f>J28-#REF!</f>
        <v>#REF!</v>
      </c>
      <c r="AA28" s="64" t="e">
        <f>K28-#REF!</f>
        <v>#REF!</v>
      </c>
      <c r="AB28" s="64" t="e">
        <f>L28-#REF!</f>
        <v>#REF!</v>
      </c>
      <c r="AC28" s="64" t="e">
        <f>M28-#REF!</f>
        <v>#REF!</v>
      </c>
    </row>
    <row r="29" spans="1:29" s="64" customFormat="1" x14ac:dyDescent="0.2">
      <c r="A29" s="247"/>
      <c r="B29" s="115" t="s">
        <v>20</v>
      </c>
      <c r="C29" s="165" t="e">
        <f>#REF!</f>
        <v>#REF!</v>
      </c>
      <c r="D29" s="165">
        <f>'[5]2. Overall com progres June 13'!D29</f>
        <v>546311</v>
      </c>
      <c r="E29" s="165">
        <f>'[3]2. Overall com progres June 13'!E29</f>
        <v>1600</v>
      </c>
      <c r="F29" s="165">
        <f>'[6]2. Overall com progres June 13'!F29</f>
        <v>5603</v>
      </c>
      <c r="G29" s="165">
        <v>2508960</v>
      </c>
      <c r="H29" s="165">
        <f>'[16]2. Overall com progres Dec 12'!H29</f>
        <v>419081</v>
      </c>
      <c r="I29" s="161" t="e">
        <f>#REF!</f>
        <v>#REF!</v>
      </c>
      <c r="J29" s="165">
        <f>'[10]2. Overall com progres June 13'!J29</f>
        <v>43786</v>
      </c>
      <c r="K29" s="165">
        <f>'[17]2. Overall com progres June 13'!K29</f>
        <v>28628</v>
      </c>
      <c r="L29" s="136">
        <f>'[8]2. Overall com progres June 13'!L29</f>
        <v>162444</v>
      </c>
      <c r="M29" s="165" t="e">
        <f>SUM(C29:L29)</f>
        <v>#REF!</v>
      </c>
      <c r="N29" s="120"/>
      <c r="O29" s="69"/>
      <c r="R29" s="64" t="e">
        <f>G29-#REF!</f>
        <v>#REF!</v>
      </c>
      <c r="S29" s="64" t="e">
        <f>C29-#REF!</f>
        <v>#REF!</v>
      </c>
      <c r="T29" s="64" t="e">
        <f>D29-#REF!</f>
        <v>#REF!</v>
      </c>
      <c r="U29" s="64" t="e">
        <f>E29-#REF!</f>
        <v>#REF!</v>
      </c>
      <c r="V29" s="64" t="e">
        <f>F29-#REF!</f>
        <v>#REF!</v>
      </c>
      <c r="W29" s="64" t="e">
        <f>G29-#REF!</f>
        <v>#REF!</v>
      </c>
      <c r="X29" s="64" t="e">
        <f>H29-#REF!</f>
        <v>#REF!</v>
      </c>
      <c r="Y29" s="64" t="e">
        <f>I29-#REF!</f>
        <v>#REF!</v>
      </c>
      <c r="Z29" s="64" t="e">
        <f>J29-#REF!</f>
        <v>#REF!</v>
      </c>
      <c r="AA29" s="64" t="e">
        <f>K29-#REF!</f>
        <v>#REF!</v>
      </c>
      <c r="AB29" s="64" t="e">
        <f>L29-#REF!</f>
        <v>#REF!</v>
      </c>
      <c r="AC29" s="64" t="e">
        <f>M29-#REF!</f>
        <v>#REF!</v>
      </c>
    </row>
    <row r="30" spans="1:29" s="64" customFormat="1" x14ac:dyDescent="0.2">
      <c r="A30" s="247"/>
      <c r="B30" s="116" t="s">
        <v>17</v>
      </c>
      <c r="C30" s="166" t="e">
        <f>SUM(C28:C29)</f>
        <v>#REF!</v>
      </c>
      <c r="D30" s="166">
        <f t="shared" ref="D30:M30" si="6">SUM(D28:D29)</f>
        <v>621124</v>
      </c>
      <c r="E30" s="166">
        <f t="shared" si="6"/>
        <v>2756</v>
      </c>
      <c r="F30" s="166">
        <f t="shared" si="6"/>
        <v>26986</v>
      </c>
      <c r="G30" s="166">
        <f t="shared" si="6"/>
        <v>4471958</v>
      </c>
      <c r="H30" s="166">
        <f t="shared" si="6"/>
        <v>715703</v>
      </c>
      <c r="I30" s="166" t="e">
        <f t="shared" si="6"/>
        <v>#REF!</v>
      </c>
      <c r="J30" s="166">
        <f t="shared" si="6"/>
        <v>270177</v>
      </c>
      <c r="K30" s="166">
        <f t="shared" si="6"/>
        <v>59562</v>
      </c>
      <c r="L30" s="166">
        <f t="shared" si="6"/>
        <v>367724</v>
      </c>
      <c r="M30" s="166" t="e">
        <f t="shared" si="6"/>
        <v>#REF!</v>
      </c>
      <c r="N30" s="120" t="e">
        <f>M30/1000000</f>
        <v>#REF!</v>
      </c>
      <c r="O30" s="69"/>
      <c r="R30" s="64" t="e">
        <f>G30-#REF!</f>
        <v>#REF!</v>
      </c>
      <c r="S30" s="64" t="e">
        <f>C30-#REF!</f>
        <v>#REF!</v>
      </c>
      <c r="T30" s="64" t="e">
        <f>D30-#REF!</f>
        <v>#REF!</v>
      </c>
      <c r="U30" s="64" t="e">
        <f>E30-#REF!</f>
        <v>#REF!</v>
      </c>
      <c r="V30" s="64" t="e">
        <f>F30-#REF!</f>
        <v>#REF!</v>
      </c>
      <c r="W30" s="64" t="e">
        <f>G30-#REF!</f>
        <v>#REF!</v>
      </c>
      <c r="X30" s="64" t="e">
        <f>H30-#REF!</f>
        <v>#REF!</v>
      </c>
      <c r="Y30" s="64" t="e">
        <f>I30-#REF!</f>
        <v>#REF!</v>
      </c>
      <c r="Z30" s="64" t="e">
        <f>J30-#REF!</f>
        <v>#REF!</v>
      </c>
      <c r="AA30" s="64" t="e">
        <f>K30-#REF!</f>
        <v>#REF!</v>
      </c>
      <c r="AB30" s="64" t="e">
        <f>L30-#REF!</f>
        <v>#REF!</v>
      </c>
      <c r="AC30" s="64" t="e">
        <f>M30-#REF!</f>
        <v>#REF!</v>
      </c>
    </row>
    <row r="31" spans="1:29" s="69" customFormat="1" x14ac:dyDescent="0.2">
      <c r="A31" s="246" t="s">
        <v>225</v>
      </c>
      <c r="B31" s="114" t="s">
        <v>19</v>
      </c>
      <c r="C31" s="165" t="e">
        <f>#REF!</f>
        <v>#REF!</v>
      </c>
      <c r="D31" s="165">
        <f>'[5]2. Overall com progres June 13'!D31</f>
        <v>74813</v>
      </c>
      <c r="E31" s="165">
        <f>'[3]2. Overall com progres June 13'!E31</f>
        <v>0</v>
      </c>
      <c r="F31" s="165">
        <f>'[6]2. Overall com progres June 13'!F31</f>
        <v>18099</v>
      </c>
      <c r="G31" s="165">
        <v>715188</v>
      </c>
      <c r="H31" s="165">
        <f>'[16]2. Overall com progres Dec 12'!H31</f>
        <v>0</v>
      </c>
      <c r="I31" s="161" t="e">
        <f>#REF!</f>
        <v>#REF!</v>
      </c>
      <c r="J31" s="165">
        <f>'[10]2. Overall com progres June 13'!J31</f>
        <v>211929</v>
      </c>
      <c r="K31" s="165">
        <f>'[17]2. Overall com progres June 13'!K31</f>
        <v>5834</v>
      </c>
      <c r="L31" s="136">
        <f>'[8]2. Overall com progres June 13'!L31</f>
        <v>85033</v>
      </c>
      <c r="M31" s="165" t="e">
        <f>SUM(C31:L31)</f>
        <v>#REF!</v>
      </c>
      <c r="R31" s="64" t="e">
        <f>G31-#REF!</f>
        <v>#REF!</v>
      </c>
      <c r="S31" s="64" t="e">
        <f>C31-#REF!</f>
        <v>#REF!</v>
      </c>
      <c r="T31" s="64" t="e">
        <f>D31-#REF!</f>
        <v>#REF!</v>
      </c>
      <c r="U31" s="64" t="e">
        <f>E31-#REF!</f>
        <v>#REF!</v>
      </c>
      <c r="V31" s="64" t="e">
        <f>F31-#REF!</f>
        <v>#REF!</v>
      </c>
      <c r="W31" s="64" t="e">
        <f>G31-#REF!</f>
        <v>#REF!</v>
      </c>
      <c r="X31" s="64" t="e">
        <f>H31-#REF!</f>
        <v>#REF!</v>
      </c>
      <c r="Y31" s="64" t="e">
        <f>I31-#REF!</f>
        <v>#REF!</v>
      </c>
      <c r="Z31" s="64" t="e">
        <f>J31-#REF!</f>
        <v>#REF!</v>
      </c>
      <c r="AA31" s="64" t="e">
        <f>K31-#REF!</f>
        <v>#REF!</v>
      </c>
      <c r="AB31" s="64" t="e">
        <f>L31-#REF!</f>
        <v>#REF!</v>
      </c>
      <c r="AC31" s="64" t="e">
        <f>M31-#REF!</f>
        <v>#REF!</v>
      </c>
    </row>
    <row r="32" spans="1:29" s="69" customFormat="1" x14ac:dyDescent="0.2">
      <c r="A32" s="246"/>
      <c r="B32" s="115" t="s">
        <v>20</v>
      </c>
      <c r="C32" s="165" t="e">
        <f>#REF!</f>
        <v>#REF!</v>
      </c>
      <c r="D32" s="165">
        <f>'[5]2. Overall com progres June 13'!D32</f>
        <v>546311</v>
      </c>
      <c r="E32" s="165">
        <f>'[3]2. Overall com progres June 13'!E32</f>
        <v>0</v>
      </c>
      <c r="F32" s="165">
        <f>'[6]2. Overall com progres June 13'!F32</f>
        <v>6593</v>
      </c>
      <c r="G32" s="165">
        <v>1921757</v>
      </c>
      <c r="H32" s="165">
        <f>'[16]2. Overall com progres Dec 12'!H32</f>
        <v>0</v>
      </c>
      <c r="I32" s="161" t="e">
        <f>#REF!</f>
        <v>#REF!</v>
      </c>
      <c r="J32" s="165">
        <f>'[10]2. Overall com progres June 13'!J32</f>
        <v>40601</v>
      </c>
      <c r="K32" s="165">
        <f>'[17]2. Overall com progres June 13'!K32</f>
        <v>21566</v>
      </c>
      <c r="L32" s="136">
        <f>'[8]2. Overall com progres June 13'!L32</f>
        <v>72063</v>
      </c>
      <c r="M32" s="165" t="e">
        <f>SUM(C32:L32)</f>
        <v>#REF!</v>
      </c>
      <c r="R32" s="64" t="e">
        <f>G32-#REF!</f>
        <v>#REF!</v>
      </c>
      <c r="S32" s="64" t="e">
        <f>C32-#REF!</f>
        <v>#REF!</v>
      </c>
      <c r="T32" s="64" t="e">
        <f>D32-#REF!</f>
        <v>#REF!</v>
      </c>
      <c r="U32" s="64" t="e">
        <f>E32-#REF!</f>
        <v>#REF!</v>
      </c>
      <c r="V32" s="64" t="e">
        <f>F32-#REF!</f>
        <v>#REF!</v>
      </c>
      <c r="W32" s="64" t="e">
        <f>G32-#REF!</f>
        <v>#REF!</v>
      </c>
      <c r="X32" s="64" t="e">
        <f>H32-#REF!</f>
        <v>#REF!</v>
      </c>
      <c r="Y32" s="64" t="e">
        <f>I32-#REF!</f>
        <v>#REF!</v>
      </c>
      <c r="Z32" s="64" t="e">
        <f>J32-#REF!</f>
        <v>#REF!</v>
      </c>
      <c r="AA32" s="64" t="e">
        <f>K32-#REF!</f>
        <v>#REF!</v>
      </c>
      <c r="AB32" s="64" t="e">
        <f>L32-#REF!</f>
        <v>#REF!</v>
      </c>
      <c r="AC32" s="64" t="e">
        <f>M32-#REF!</f>
        <v>#REF!</v>
      </c>
    </row>
    <row r="33" spans="1:29" s="69" customFormat="1" x14ac:dyDescent="0.2">
      <c r="A33" s="246"/>
      <c r="B33" s="116" t="s">
        <v>17</v>
      </c>
      <c r="C33" s="166" t="e">
        <f>SUM(C31:C32)</f>
        <v>#REF!</v>
      </c>
      <c r="D33" s="166">
        <f t="shared" ref="D33:M33" si="7">SUM(D31:D32)</f>
        <v>621124</v>
      </c>
      <c r="E33" s="166">
        <f t="shared" si="7"/>
        <v>0</v>
      </c>
      <c r="F33" s="166">
        <f t="shared" si="7"/>
        <v>24692</v>
      </c>
      <c r="G33" s="166">
        <f t="shared" si="7"/>
        <v>2636945</v>
      </c>
      <c r="H33" s="166">
        <f t="shared" si="7"/>
        <v>0</v>
      </c>
      <c r="I33" s="166" t="e">
        <f t="shared" si="7"/>
        <v>#REF!</v>
      </c>
      <c r="J33" s="166">
        <f t="shared" si="7"/>
        <v>252530</v>
      </c>
      <c r="K33" s="166">
        <f t="shared" si="7"/>
        <v>27400</v>
      </c>
      <c r="L33" s="166">
        <f t="shared" si="7"/>
        <v>157096</v>
      </c>
      <c r="M33" s="166" t="e">
        <f t="shared" si="7"/>
        <v>#REF!</v>
      </c>
      <c r="N33" s="68" t="e">
        <f>M33/1000000</f>
        <v>#REF!</v>
      </c>
      <c r="R33" s="64" t="e">
        <f>G33-#REF!</f>
        <v>#REF!</v>
      </c>
      <c r="S33" s="64" t="e">
        <f>C33-#REF!</f>
        <v>#REF!</v>
      </c>
      <c r="T33" s="64" t="e">
        <f>D33-#REF!</f>
        <v>#REF!</v>
      </c>
      <c r="U33" s="64" t="e">
        <f>E33-#REF!</f>
        <v>#REF!</v>
      </c>
      <c r="V33" s="64" t="e">
        <f>F33-#REF!</f>
        <v>#REF!</v>
      </c>
      <c r="W33" s="64" t="e">
        <f>G33-#REF!</f>
        <v>#REF!</v>
      </c>
      <c r="X33" s="64" t="e">
        <f>H33-#REF!</f>
        <v>#REF!</v>
      </c>
      <c r="Y33" s="64" t="e">
        <f>I33-#REF!</f>
        <v>#REF!</v>
      </c>
      <c r="Z33" s="64" t="e">
        <f>J33-#REF!</f>
        <v>#REF!</v>
      </c>
      <c r="AA33" s="64" t="e">
        <f>K33-#REF!</f>
        <v>#REF!</v>
      </c>
      <c r="AB33" s="64" t="e">
        <f>L33-#REF!</f>
        <v>#REF!</v>
      </c>
      <c r="AC33" s="64" t="e">
        <f>M33-#REF!</f>
        <v>#REF!</v>
      </c>
    </row>
    <row r="34" spans="1:29" s="64" customFormat="1" ht="13.15" customHeight="1" x14ac:dyDescent="0.2">
      <c r="A34" s="249" t="s">
        <v>265</v>
      </c>
      <c r="B34" s="115" t="s">
        <v>19</v>
      </c>
      <c r="C34" s="165" t="e">
        <f>#REF!</f>
        <v>#REF!</v>
      </c>
      <c r="D34" s="165">
        <f>'[5]2. Overall com progres June 13'!D34</f>
        <v>74813</v>
      </c>
      <c r="E34" s="165">
        <f>'[3]2. Overall com progres June 13'!E34</f>
        <v>0</v>
      </c>
      <c r="F34" s="165">
        <f>'[6]2. Overall com progres June 13'!F34</f>
        <v>18099</v>
      </c>
      <c r="G34" s="165">
        <v>1589732</v>
      </c>
      <c r="H34" s="165">
        <f>'[16]2. Overall com progres Dec 12'!H34</f>
        <v>0</v>
      </c>
      <c r="I34" s="161" t="e">
        <f>#REF!</f>
        <v>#REF!</v>
      </c>
      <c r="J34" s="165">
        <f>'[10]2. Overall com progres June 13'!J34</f>
        <v>358136</v>
      </c>
      <c r="K34" s="165">
        <f>'[17]2. Overall com progres June 13'!K34</f>
        <v>5834</v>
      </c>
      <c r="L34" s="136">
        <f>'[8]2. Overall com progres June 13'!L34</f>
        <v>95229</v>
      </c>
      <c r="M34" s="165" t="e">
        <f>SUM(C34:L34)</f>
        <v>#REF!</v>
      </c>
      <c r="N34" s="68" t="e">
        <f>M34/1000000</f>
        <v>#REF!</v>
      </c>
      <c r="O34" s="69"/>
      <c r="R34" s="64" t="e">
        <f>G34-#REF!</f>
        <v>#REF!</v>
      </c>
      <c r="S34" s="64" t="e">
        <f>C34-#REF!</f>
        <v>#REF!</v>
      </c>
      <c r="T34" s="64" t="e">
        <f>D34-#REF!</f>
        <v>#REF!</v>
      </c>
      <c r="U34" s="64" t="e">
        <f>E34-#REF!</f>
        <v>#REF!</v>
      </c>
      <c r="V34" s="64" t="e">
        <f>F34-#REF!</f>
        <v>#REF!</v>
      </c>
      <c r="W34" s="64" t="e">
        <f>G34-#REF!</f>
        <v>#REF!</v>
      </c>
      <c r="X34" s="64" t="e">
        <f>H34-#REF!</f>
        <v>#REF!</v>
      </c>
      <c r="Y34" s="64" t="e">
        <f>I34-#REF!</f>
        <v>#REF!</v>
      </c>
      <c r="Z34" s="64" t="e">
        <f>J34-#REF!</f>
        <v>#REF!</v>
      </c>
      <c r="AA34" s="64" t="e">
        <f>K34-#REF!</f>
        <v>#REF!</v>
      </c>
      <c r="AB34" s="64" t="e">
        <f>L34-#REF!</f>
        <v>#REF!</v>
      </c>
      <c r="AC34" s="64" t="e">
        <f>M34-#REF!</f>
        <v>#REF!</v>
      </c>
    </row>
    <row r="35" spans="1:29" s="64" customFormat="1" x14ac:dyDescent="0.2">
      <c r="A35" s="249"/>
      <c r="B35" s="115" t="s">
        <v>20</v>
      </c>
      <c r="C35" s="165" t="e">
        <f>#REF!</f>
        <v>#REF!</v>
      </c>
      <c r="D35" s="165">
        <f>'[5]2. Overall com progres June 13'!D35</f>
        <v>546311</v>
      </c>
      <c r="E35" s="165">
        <f>'[3]2. Overall com progres June 13'!E35</f>
        <v>0</v>
      </c>
      <c r="F35" s="165">
        <f>'[6]2. Overall com progres June 13'!F35</f>
        <v>6593</v>
      </c>
      <c r="G35" s="165">
        <v>2654807</v>
      </c>
      <c r="H35" s="165">
        <f>'[16]2. Overall com progres Dec 12'!H35</f>
        <v>0</v>
      </c>
      <c r="I35" s="161" t="e">
        <f>#REF!</f>
        <v>#REF!</v>
      </c>
      <c r="J35" s="165">
        <f>'[10]2. Overall com progres June 13'!J35</f>
        <v>257340</v>
      </c>
      <c r="K35" s="165">
        <f>'[17]2. Overall com progres June 13'!K35</f>
        <v>21566</v>
      </c>
      <c r="L35" s="136">
        <f>'[8]2. Overall com progres June 13'!L35</f>
        <v>78828</v>
      </c>
      <c r="M35" s="165" t="e">
        <f>SUM(C35:L35)</f>
        <v>#REF!</v>
      </c>
      <c r="N35" s="86"/>
      <c r="O35" s="69"/>
      <c r="R35" s="64" t="e">
        <f>G35-#REF!</f>
        <v>#REF!</v>
      </c>
      <c r="S35" s="64" t="e">
        <f>C35-#REF!</f>
        <v>#REF!</v>
      </c>
      <c r="T35" s="64" t="e">
        <f>D35-#REF!</f>
        <v>#REF!</v>
      </c>
      <c r="U35" s="64" t="e">
        <f>E35-#REF!</f>
        <v>#REF!</v>
      </c>
      <c r="V35" s="64" t="e">
        <f>F35-#REF!</f>
        <v>#REF!</v>
      </c>
      <c r="W35" s="64" t="e">
        <f>G35-#REF!</f>
        <v>#REF!</v>
      </c>
      <c r="X35" s="64" t="e">
        <f>H35-#REF!</f>
        <v>#REF!</v>
      </c>
      <c r="Y35" s="64" t="e">
        <f>I35-#REF!</f>
        <v>#REF!</v>
      </c>
      <c r="Z35" s="64" t="e">
        <f>J35-#REF!</f>
        <v>#REF!</v>
      </c>
      <c r="AA35" s="64" t="e">
        <f>K35-#REF!</f>
        <v>#REF!</v>
      </c>
      <c r="AB35" s="64" t="e">
        <f>L35-#REF!</f>
        <v>#REF!</v>
      </c>
      <c r="AC35" s="64" t="e">
        <f>M35-#REF!</f>
        <v>#REF!</v>
      </c>
    </row>
    <row r="36" spans="1:29" s="64" customFormat="1" x14ac:dyDescent="0.2">
      <c r="A36" s="249"/>
      <c r="B36" s="116" t="s">
        <v>17</v>
      </c>
      <c r="C36" s="166" t="e">
        <f>SUM(C34:C35)</f>
        <v>#REF!</v>
      </c>
      <c r="D36" s="166">
        <f t="shared" ref="D36:M36" si="8">SUM(D34:D35)</f>
        <v>621124</v>
      </c>
      <c r="E36" s="166">
        <f t="shared" si="8"/>
        <v>0</v>
      </c>
      <c r="F36" s="166">
        <f t="shared" si="8"/>
        <v>24692</v>
      </c>
      <c r="G36" s="166">
        <f t="shared" si="8"/>
        <v>4244539</v>
      </c>
      <c r="H36" s="166">
        <f t="shared" si="8"/>
        <v>0</v>
      </c>
      <c r="I36" s="166" t="e">
        <f t="shared" si="8"/>
        <v>#REF!</v>
      </c>
      <c r="J36" s="166">
        <f t="shared" si="8"/>
        <v>615476</v>
      </c>
      <c r="K36" s="166">
        <f t="shared" si="8"/>
        <v>27400</v>
      </c>
      <c r="L36" s="166">
        <f t="shared" si="8"/>
        <v>174057</v>
      </c>
      <c r="M36" s="166" t="e">
        <f t="shared" si="8"/>
        <v>#REF!</v>
      </c>
      <c r="N36" s="68" t="e">
        <f>M36/1000000</f>
        <v>#REF!</v>
      </c>
      <c r="O36" s="69"/>
      <c r="R36" s="64" t="e">
        <f>G36-#REF!</f>
        <v>#REF!</v>
      </c>
      <c r="S36" s="64" t="e">
        <f>C36-#REF!</f>
        <v>#REF!</v>
      </c>
      <c r="T36" s="64" t="e">
        <f>D36-#REF!</f>
        <v>#REF!</v>
      </c>
      <c r="U36" s="64" t="e">
        <f>E36-#REF!</f>
        <v>#REF!</v>
      </c>
      <c r="V36" s="64" t="e">
        <f>F36-#REF!</f>
        <v>#REF!</v>
      </c>
      <c r="W36" s="64" t="e">
        <f>G36-#REF!</f>
        <v>#REF!</v>
      </c>
      <c r="X36" s="64" t="e">
        <f>H36-#REF!</f>
        <v>#REF!</v>
      </c>
      <c r="Y36" s="64" t="e">
        <f>I36-#REF!</f>
        <v>#REF!</v>
      </c>
      <c r="Z36" s="64" t="e">
        <f>J36-#REF!</f>
        <v>#REF!</v>
      </c>
      <c r="AA36" s="64" t="e">
        <f>K36-#REF!</f>
        <v>#REF!</v>
      </c>
      <c r="AB36" s="64" t="e">
        <f>L36-#REF!</f>
        <v>#REF!</v>
      </c>
      <c r="AC36" s="64" t="e">
        <f>M36-#REF!</f>
        <v>#REF!</v>
      </c>
    </row>
    <row r="37" spans="1:29" s="70" customFormat="1" x14ac:dyDescent="0.2">
      <c r="A37" s="263" t="s">
        <v>24</v>
      </c>
      <c r="B37" s="264"/>
      <c r="C37" s="165" t="e">
        <f>#REF!</f>
        <v>#REF!</v>
      </c>
      <c r="D37" s="165">
        <f>'[5]2. Overall com progres June 13'!D37</f>
        <v>3576</v>
      </c>
      <c r="E37" s="165">
        <f>'[3]2. Overall com progres June 13'!E37</f>
        <v>1295</v>
      </c>
      <c r="F37" s="165">
        <f>'[6]2. Overall com progres June 13'!F37</f>
        <v>534</v>
      </c>
      <c r="G37" s="165">
        <v>28006</v>
      </c>
      <c r="H37" s="165">
        <f>'[16]2. Overall com progres Dec 12'!H37</f>
        <v>6433</v>
      </c>
      <c r="I37" s="161" t="e">
        <f>#REF!</f>
        <v>#REF!</v>
      </c>
      <c r="J37" s="165">
        <f>'[10]2. Overall com progres June 13'!J37</f>
        <v>39555</v>
      </c>
      <c r="K37" s="165">
        <f>'[17]2. Overall com progres June 13'!K37</f>
        <v>7923</v>
      </c>
      <c r="L37" s="136">
        <f>'[8]2. Overall com progres June 13'!L37</f>
        <v>57180</v>
      </c>
      <c r="M37" s="165" t="e">
        <f t="shared" ref="M37:M45" si="9">SUM(C37:L37)</f>
        <v>#REF!</v>
      </c>
      <c r="N37" s="86"/>
      <c r="O37" s="69"/>
      <c r="R37" s="64" t="e">
        <f>G37-#REF!</f>
        <v>#REF!</v>
      </c>
      <c r="S37" s="64" t="e">
        <f>C37-#REF!</f>
        <v>#REF!</v>
      </c>
      <c r="T37" s="64" t="e">
        <f>D37-#REF!</f>
        <v>#REF!</v>
      </c>
      <c r="U37" s="64" t="e">
        <f>E37-#REF!</f>
        <v>#REF!</v>
      </c>
      <c r="V37" s="64" t="e">
        <f>F37-#REF!</f>
        <v>#REF!</v>
      </c>
      <c r="W37" s="64" t="e">
        <f>G37-#REF!</f>
        <v>#REF!</v>
      </c>
      <c r="X37" s="64" t="e">
        <f>H37-#REF!</f>
        <v>#REF!</v>
      </c>
      <c r="Y37" s="64" t="e">
        <f>I37-#REF!</f>
        <v>#REF!</v>
      </c>
      <c r="Z37" s="64" t="e">
        <f>J37-#REF!</f>
        <v>#REF!</v>
      </c>
      <c r="AA37" s="64" t="e">
        <f>K37-#REF!</f>
        <v>#REF!</v>
      </c>
      <c r="AB37" s="64" t="e">
        <f>L37-#REF!</f>
        <v>#REF!</v>
      </c>
      <c r="AC37" s="64" t="e">
        <f>M37-#REF!</f>
        <v>#REF!</v>
      </c>
    </row>
    <row r="38" spans="1:29" s="70" customFormat="1" x14ac:dyDescent="0.2">
      <c r="A38" s="263" t="s">
        <v>25</v>
      </c>
      <c r="B38" s="264"/>
      <c r="C38" s="165" t="e">
        <f>#REF!</f>
        <v>#REF!</v>
      </c>
      <c r="D38" s="165">
        <f>'[5]2. Overall com progres June 13'!D38</f>
        <v>3576</v>
      </c>
      <c r="E38" s="165">
        <f>'[3]2. Overall com progres June 13'!E38</f>
        <v>1056</v>
      </c>
      <c r="F38" s="165">
        <f>'[6]2. Overall com progres June 13'!F38</f>
        <v>534</v>
      </c>
      <c r="G38" s="165">
        <v>27098</v>
      </c>
      <c r="H38" s="165">
        <f>'[16]2. Overall com progres Dec 12'!H38</f>
        <v>6433</v>
      </c>
      <c r="I38" s="161" t="e">
        <f>#REF!</f>
        <v>#REF!</v>
      </c>
      <c r="J38" s="165">
        <f>'[10]2. Overall com progres June 13'!J38</f>
        <v>39555</v>
      </c>
      <c r="K38" s="165">
        <f>'[17]2. Overall com progres June 13'!K38</f>
        <v>7750</v>
      </c>
      <c r="L38" s="136">
        <f>'[8]2. Overall com progres June 13'!L38</f>
        <v>56745</v>
      </c>
      <c r="M38" s="165" t="e">
        <f t="shared" si="9"/>
        <v>#REF!</v>
      </c>
      <c r="N38" s="86"/>
      <c r="O38" s="69"/>
      <c r="R38" s="64" t="e">
        <f>G38-#REF!</f>
        <v>#REF!</v>
      </c>
      <c r="S38" s="64" t="e">
        <f>C38-#REF!</f>
        <v>#REF!</v>
      </c>
      <c r="T38" s="64" t="e">
        <f>D38-#REF!</f>
        <v>#REF!</v>
      </c>
      <c r="U38" s="64" t="e">
        <f>E38-#REF!</f>
        <v>#REF!</v>
      </c>
      <c r="V38" s="64" t="e">
        <f>F38-#REF!</f>
        <v>#REF!</v>
      </c>
      <c r="W38" s="64" t="e">
        <f>G38-#REF!</f>
        <v>#REF!</v>
      </c>
      <c r="X38" s="64" t="e">
        <f>H38-#REF!</f>
        <v>#REF!</v>
      </c>
      <c r="Y38" s="64" t="e">
        <f>I38-#REF!</f>
        <v>#REF!</v>
      </c>
      <c r="Z38" s="64" t="e">
        <f>J38-#REF!</f>
        <v>#REF!</v>
      </c>
      <c r="AA38" s="64" t="e">
        <f>K38-#REF!</f>
        <v>#REF!</v>
      </c>
      <c r="AB38" s="64" t="e">
        <f>L38-#REF!</f>
        <v>#REF!</v>
      </c>
      <c r="AC38" s="64" t="e">
        <f>M38-#REF!</f>
        <v>#REF!</v>
      </c>
    </row>
    <row r="39" spans="1:29" s="71" customFormat="1" x14ac:dyDescent="0.2">
      <c r="A39" s="263" t="s">
        <v>26</v>
      </c>
      <c r="B39" s="264"/>
      <c r="C39" s="165" t="e">
        <f>#REF!</f>
        <v>#REF!</v>
      </c>
      <c r="D39" s="165">
        <f>'[5]2. Overall com progres June 13'!D39</f>
        <v>284440</v>
      </c>
      <c r="E39" s="165">
        <f>'[3]2. Overall com progres June 13'!E39</f>
        <v>71525</v>
      </c>
      <c r="F39" s="165">
        <f>'[6]2. Overall com progres June 13'!F39</f>
        <v>20861</v>
      </c>
      <c r="G39" s="165">
        <v>1207159</v>
      </c>
      <c r="H39" s="165">
        <f>'[16]2. Overall com progres Dec 12'!H39</f>
        <v>674798</v>
      </c>
      <c r="I39" s="161" t="e">
        <f>#REF!</f>
        <v>#REF!</v>
      </c>
      <c r="J39" s="165">
        <f>'[10]2. Overall com progres June 13'!J39</f>
        <v>227005</v>
      </c>
      <c r="K39" s="165">
        <f>'[17]2. Overall com progres June 13'!K39</f>
        <v>1528442</v>
      </c>
      <c r="L39" s="136">
        <f>'[8]2. Overall com progres June 13'!L39</f>
        <v>386430</v>
      </c>
      <c r="M39" s="165" t="e">
        <f t="shared" si="9"/>
        <v>#REF!</v>
      </c>
      <c r="N39" s="68" t="e">
        <f>M39/1000000</f>
        <v>#REF!</v>
      </c>
      <c r="O39" s="69">
        <f>476*15</f>
        <v>7140</v>
      </c>
      <c r="R39" s="64" t="e">
        <f>G39-#REF!</f>
        <v>#REF!</v>
      </c>
      <c r="S39" s="64" t="e">
        <f>C39-#REF!</f>
        <v>#REF!</v>
      </c>
      <c r="T39" s="64" t="e">
        <f>D39-#REF!</f>
        <v>#REF!</v>
      </c>
      <c r="U39" s="64" t="e">
        <f>E39-#REF!</f>
        <v>#REF!</v>
      </c>
      <c r="V39" s="64" t="e">
        <f>F39-#REF!</f>
        <v>#REF!</v>
      </c>
      <c r="W39" s="64" t="e">
        <f>G39-#REF!</f>
        <v>#REF!</v>
      </c>
      <c r="X39" s="64" t="e">
        <f>H39-#REF!</f>
        <v>#REF!</v>
      </c>
      <c r="Y39" s="64" t="e">
        <f>I39-#REF!</f>
        <v>#REF!</v>
      </c>
      <c r="Z39" s="64" t="e">
        <f>J39-#REF!</f>
        <v>#REF!</v>
      </c>
      <c r="AA39" s="64" t="e">
        <f>K39-#REF!</f>
        <v>#REF!</v>
      </c>
      <c r="AB39" s="64" t="e">
        <f>L39-#REF!</f>
        <v>#REF!</v>
      </c>
      <c r="AC39" s="64" t="e">
        <f>M39-#REF!</f>
        <v>#REF!</v>
      </c>
    </row>
    <row r="40" spans="1:29" s="71" customFormat="1" x14ac:dyDescent="0.2">
      <c r="A40" s="259" t="s">
        <v>261</v>
      </c>
      <c r="B40" s="260"/>
      <c r="C40" s="165" t="e">
        <f>#REF!</f>
        <v>#REF!</v>
      </c>
      <c r="D40" s="165">
        <f>'[5]2. Overall com progres June 13'!D40</f>
        <v>284440</v>
      </c>
      <c r="E40" s="165">
        <f>'[3]2. Overall com progres June 13'!E40</f>
        <v>59225</v>
      </c>
      <c r="F40" s="165">
        <f>'[6]2. Overall com progres June 13'!F40</f>
        <v>20861</v>
      </c>
      <c r="G40" s="165">
        <v>1126437</v>
      </c>
      <c r="H40" s="165">
        <f>'[16]2. Overall com progres Dec 12'!H40</f>
        <v>674798</v>
      </c>
      <c r="I40" s="161" t="e">
        <f>#REF!</f>
        <v>#REF!</v>
      </c>
      <c r="J40" s="165">
        <f>'[10]2. Overall com progres June 13'!J40</f>
        <v>227005</v>
      </c>
      <c r="K40" s="165">
        <f>'[17]2. Overall com progres June 13'!K40</f>
        <v>1495068</v>
      </c>
      <c r="L40" s="136">
        <f>'[8]2. Overall com progres June 13'!L40</f>
        <v>371034</v>
      </c>
      <c r="M40" s="165" t="e">
        <f t="shared" si="9"/>
        <v>#REF!</v>
      </c>
      <c r="N40" s="68"/>
      <c r="O40" s="69"/>
      <c r="R40" s="64"/>
      <c r="S40" s="64" t="e">
        <f>C40-#REF!</f>
        <v>#REF!</v>
      </c>
      <c r="T40" s="64" t="e">
        <f>D40-#REF!</f>
        <v>#REF!</v>
      </c>
      <c r="U40" s="64" t="e">
        <f>E40-#REF!</f>
        <v>#REF!</v>
      </c>
      <c r="V40" s="64" t="e">
        <f>F40-#REF!</f>
        <v>#REF!</v>
      </c>
      <c r="W40" s="64" t="e">
        <f>G40-#REF!</f>
        <v>#REF!</v>
      </c>
      <c r="X40" s="64" t="e">
        <f>H40-#REF!</f>
        <v>#REF!</v>
      </c>
      <c r="Y40" s="64" t="e">
        <f>I40-#REF!</f>
        <v>#REF!</v>
      </c>
      <c r="Z40" s="64" t="e">
        <f>J40-#REF!</f>
        <v>#REF!</v>
      </c>
      <c r="AA40" s="64" t="e">
        <f>K40-#REF!</f>
        <v>#REF!</v>
      </c>
      <c r="AB40" s="64" t="e">
        <f>L40-#REF!</f>
        <v>#REF!</v>
      </c>
      <c r="AC40" s="64" t="e">
        <f>M40-#REF!</f>
        <v>#REF!</v>
      </c>
    </row>
    <row r="41" spans="1:29" s="72" customFormat="1" x14ac:dyDescent="0.2">
      <c r="A41" s="250" t="s">
        <v>27</v>
      </c>
      <c r="B41" s="251"/>
      <c r="C41" s="165" t="e">
        <f>#REF!</f>
        <v>#REF!</v>
      </c>
      <c r="D41" s="165">
        <f>'[5]2. Overall com progres June 13'!D41</f>
        <v>1825.46</v>
      </c>
      <c r="E41" s="165">
        <f>'[3]2. Overall com progres June 13'!E41</f>
        <v>641</v>
      </c>
      <c r="F41" s="165">
        <f>'[6]2. Overall com progres June 13'!F41</f>
        <v>161</v>
      </c>
      <c r="G41" s="165">
        <v>6827.9548500000001</v>
      </c>
      <c r="H41" s="165">
        <f>'[16]2. Overall com progres Dec 12'!H41</f>
        <v>1675.181</v>
      </c>
      <c r="I41" s="161" t="e">
        <f>#REF!</f>
        <v>#REF!</v>
      </c>
      <c r="J41" s="165">
        <f>'[10]2. Overall com progres June 13'!J41</f>
        <v>2567</v>
      </c>
      <c r="K41" s="165">
        <f>'[17]2. Overall com progres June 13'!K41</f>
        <v>4134.58</v>
      </c>
      <c r="L41" s="136">
        <f>'[8]2. Overall com progres June 13'!L41</f>
        <v>890.5</v>
      </c>
      <c r="M41" s="165" t="e">
        <f t="shared" si="9"/>
        <v>#REF!</v>
      </c>
      <c r="N41" s="86" t="e">
        <f>M41/90</f>
        <v>#REF!</v>
      </c>
      <c r="O41" s="121" t="e">
        <f>M41/85</f>
        <v>#REF!</v>
      </c>
      <c r="R41" s="64" t="e">
        <f>G41-#REF!</f>
        <v>#REF!</v>
      </c>
      <c r="S41" s="64" t="e">
        <f>C41-#REF!</f>
        <v>#REF!</v>
      </c>
      <c r="T41" s="64" t="e">
        <f>D41-#REF!</f>
        <v>#REF!</v>
      </c>
      <c r="U41" s="64" t="e">
        <f>E41-#REF!</f>
        <v>#REF!</v>
      </c>
      <c r="V41" s="64" t="e">
        <f>F41-#REF!</f>
        <v>#REF!</v>
      </c>
      <c r="W41" s="64" t="e">
        <f>G41-#REF!</f>
        <v>#REF!</v>
      </c>
      <c r="X41" s="64" t="e">
        <f>H41-#REF!</f>
        <v>#REF!</v>
      </c>
      <c r="Y41" s="64" t="e">
        <f>I41-#REF!</f>
        <v>#REF!</v>
      </c>
      <c r="Z41" s="64" t="e">
        <f>J41-#REF!</f>
        <v>#REF!</v>
      </c>
      <c r="AA41" s="64" t="e">
        <f>K41-#REF!</f>
        <v>#REF!</v>
      </c>
      <c r="AB41" s="64" t="e">
        <f>L41-#REF!</f>
        <v>#REF!</v>
      </c>
      <c r="AC41" s="64" t="e">
        <f>M41-#REF!</f>
        <v>#REF!</v>
      </c>
    </row>
    <row r="42" spans="1:29" s="72" customFormat="1" x14ac:dyDescent="0.2">
      <c r="A42" s="261" t="s">
        <v>262</v>
      </c>
      <c r="B42" s="262"/>
      <c r="C42" s="165" t="e">
        <f>#REF!</f>
        <v>#REF!</v>
      </c>
      <c r="D42" s="165">
        <f>'[5]2. Overall com progres June 13'!D42</f>
        <v>1825.46</v>
      </c>
      <c r="E42" s="165">
        <f>'[3]2. Overall com progres June 13'!E42</f>
        <v>525</v>
      </c>
      <c r="F42" s="165">
        <f>'[6]2. Overall com progres June 13'!F42</f>
        <v>161</v>
      </c>
      <c r="G42" s="165">
        <v>6217.9347639999996</v>
      </c>
      <c r="H42" s="165">
        <f>'[16]2. Overall com progres Dec 12'!H42</f>
        <v>1675.181</v>
      </c>
      <c r="I42" s="161" t="e">
        <f>#REF!</f>
        <v>#REF!</v>
      </c>
      <c r="J42" s="165">
        <f>'[10]2. Overall com progres June 13'!J42</f>
        <v>2567</v>
      </c>
      <c r="K42" s="165">
        <f>'[17]2. Overall com progres June 13'!K42</f>
        <v>4044.7</v>
      </c>
      <c r="L42" s="136">
        <f>'[8]2. Overall com progres June 13'!L42</f>
        <v>868.8</v>
      </c>
      <c r="M42" s="165" t="e">
        <f t="shared" si="9"/>
        <v>#REF!</v>
      </c>
      <c r="N42" s="86"/>
      <c r="O42" s="121"/>
      <c r="R42" s="64"/>
      <c r="S42" s="64" t="e">
        <f>C42-#REF!</f>
        <v>#REF!</v>
      </c>
      <c r="T42" s="64" t="e">
        <f>D42-#REF!</f>
        <v>#REF!</v>
      </c>
      <c r="U42" s="64" t="e">
        <f>E42-#REF!</f>
        <v>#REF!</v>
      </c>
      <c r="V42" s="64" t="e">
        <f>F42-#REF!</f>
        <v>#REF!</v>
      </c>
      <c r="W42" s="64" t="e">
        <f>G42-#REF!</f>
        <v>#REF!</v>
      </c>
      <c r="X42" s="64" t="e">
        <f>H42-#REF!</f>
        <v>#REF!</v>
      </c>
      <c r="Y42" s="64" t="e">
        <f>I42-#REF!</f>
        <v>#REF!</v>
      </c>
      <c r="Z42" s="64" t="e">
        <f>J42-#REF!</f>
        <v>#REF!</v>
      </c>
      <c r="AA42" s="64" t="e">
        <f>K42-#REF!</f>
        <v>#REF!</v>
      </c>
      <c r="AB42" s="64" t="e">
        <f>L42-#REF!</f>
        <v>#REF!</v>
      </c>
      <c r="AC42" s="64" t="e">
        <f>M42-#REF!</f>
        <v>#REF!</v>
      </c>
    </row>
    <row r="43" spans="1:29" s="73" customFormat="1" x14ac:dyDescent="0.2">
      <c r="A43" s="252" t="s">
        <v>28</v>
      </c>
      <c r="B43" s="253" t="s">
        <v>29</v>
      </c>
      <c r="C43" s="165" t="e">
        <f>#REF!</f>
        <v>#REF!</v>
      </c>
      <c r="D43" s="165">
        <f>'[5]2. Overall com progres June 13'!D43</f>
        <v>867</v>
      </c>
      <c r="E43" s="165">
        <f>'[3]2. Overall com progres June 13'!E43</f>
        <v>141</v>
      </c>
      <c r="F43" s="165">
        <f>'[6]2. Overall com progres June 13'!F43</f>
        <v>12</v>
      </c>
      <c r="G43" s="165">
        <v>545</v>
      </c>
      <c r="H43" s="165">
        <f>'[16]2. Overall com progres Dec 12'!H43</f>
        <v>201</v>
      </c>
      <c r="I43" s="161" t="e">
        <f>#REF!</f>
        <v>#REF!</v>
      </c>
      <c r="J43" s="165">
        <f>'[10]2. Overall com progres June 13'!J43</f>
        <v>2</v>
      </c>
      <c r="K43" s="165">
        <f>'[17]2. Overall com progres June 13'!K43</f>
        <v>73</v>
      </c>
      <c r="L43" s="136">
        <f>'[8]2. Overall com progres June 13'!L43</f>
        <v>113</v>
      </c>
      <c r="M43" s="165" t="e">
        <f t="shared" si="9"/>
        <v>#REF!</v>
      </c>
      <c r="N43" s="86"/>
      <c r="O43" s="69"/>
      <c r="R43" s="64" t="e">
        <f>G43-#REF!</f>
        <v>#REF!</v>
      </c>
      <c r="S43" s="64" t="e">
        <f>C43-#REF!</f>
        <v>#REF!</v>
      </c>
      <c r="T43" s="64" t="e">
        <f>D43-#REF!</f>
        <v>#REF!</v>
      </c>
      <c r="U43" s="64" t="e">
        <f>E43-#REF!</f>
        <v>#REF!</v>
      </c>
      <c r="V43" s="64" t="e">
        <f>F43-#REF!</f>
        <v>#REF!</v>
      </c>
      <c r="W43" s="64" t="e">
        <f>G43-#REF!</f>
        <v>#REF!</v>
      </c>
      <c r="X43" s="64" t="e">
        <f>H43-#REF!</f>
        <v>#REF!</v>
      </c>
      <c r="Y43" s="64" t="e">
        <f>I43-#REF!</f>
        <v>#REF!</v>
      </c>
      <c r="Z43" s="64" t="e">
        <f>J43-#REF!</f>
        <v>#REF!</v>
      </c>
      <c r="AA43" s="64" t="e">
        <f>K43-#REF!</f>
        <v>#REF!</v>
      </c>
      <c r="AB43" s="64" t="e">
        <f>L43-#REF!</f>
        <v>#REF!</v>
      </c>
      <c r="AC43" s="64" t="e">
        <f>M43-#REF!</f>
        <v>#REF!</v>
      </c>
    </row>
    <row r="44" spans="1:29" s="64" customFormat="1" x14ac:dyDescent="0.2">
      <c r="A44" s="247" t="s">
        <v>30</v>
      </c>
      <c r="B44" s="65" t="s">
        <v>29</v>
      </c>
      <c r="C44" s="165" t="e">
        <f>#REF!</f>
        <v>#REF!</v>
      </c>
      <c r="D44" s="165">
        <f>'[5]2. Overall com progres June 13'!D44</f>
        <v>2900</v>
      </c>
      <c r="E44" s="165">
        <f>'[3]2. Overall com progres June 13'!E44</f>
        <v>4453</v>
      </c>
      <c r="F44" s="165">
        <f>'[6]2. Overall com progres June 13'!F44</f>
        <v>780</v>
      </c>
      <c r="G44" s="165">
        <v>9852</v>
      </c>
      <c r="H44" s="165">
        <f>'[16]2. Overall com progres Dec 12'!H44</f>
        <v>5188</v>
      </c>
      <c r="I44" s="161" t="e">
        <f>#REF!</f>
        <v>#REF!</v>
      </c>
      <c r="J44" s="165">
        <f>'[10]2. Overall com progres June 13'!J44</f>
        <v>25</v>
      </c>
      <c r="K44" s="165">
        <f>'[17]2. Overall com progres June 13'!K44</f>
        <v>1991</v>
      </c>
      <c r="L44" s="136">
        <f>'[8]2. Overall com progres June 13'!L44</f>
        <v>1947</v>
      </c>
      <c r="M44" s="165" t="e">
        <f t="shared" si="9"/>
        <v>#REF!</v>
      </c>
      <c r="N44" s="86"/>
      <c r="O44" s="69"/>
      <c r="R44" s="64" t="e">
        <f>G44-#REF!</f>
        <v>#REF!</v>
      </c>
      <c r="S44" s="64" t="e">
        <f>C44-#REF!</f>
        <v>#REF!</v>
      </c>
      <c r="T44" s="64" t="e">
        <f>D44-#REF!</f>
        <v>#REF!</v>
      </c>
      <c r="U44" s="64" t="e">
        <f>E44-#REF!</f>
        <v>#REF!</v>
      </c>
      <c r="V44" s="64" t="e">
        <f>F44-#REF!</f>
        <v>#REF!</v>
      </c>
      <c r="W44" s="64" t="e">
        <f>G44-#REF!</f>
        <v>#REF!</v>
      </c>
      <c r="X44" s="64" t="e">
        <f>H44-#REF!</f>
        <v>#REF!</v>
      </c>
      <c r="Y44" s="64" t="e">
        <f>I44-#REF!</f>
        <v>#REF!</v>
      </c>
      <c r="Z44" s="64" t="e">
        <f>J44-#REF!</f>
        <v>#REF!</v>
      </c>
      <c r="AA44" s="64" t="e">
        <f>K44-#REF!</f>
        <v>#REF!</v>
      </c>
      <c r="AB44" s="64" t="e">
        <f>L44-#REF!</f>
        <v>#REF!</v>
      </c>
      <c r="AC44" s="64" t="e">
        <f>M44-#REF!</f>
        <v>#REF!</v>
      </c>
    </row>
    <row r="45" spans="1:29" s="64" customFormat="1" x14ac:dyDescent="0.2">
      <c r="A45" s="247"/>
      <c r="B45" s="66" t="s">
        <v>31</v>
      </c>
      <c r="C45" s="165" t="e">
        <f>#REF!</f>
        <v>#REF!</v>
      </c>
      <c r="D45" s="165">
        <f>'[5]2. Overall com progres June 13'!D45</f>
        <v>7375</v>
      </c>
      <c r="E45" s="165">
        <f>'[3]2. Overall com progres June 13'!E45</f>
        <v>5543</v>
      </c>
      <c r="F45" s="165">
        <f>'[6]2. Overall com progres June 13'!F45</f>
        <v>608</v>
      </c>
      <c r="G45" s="165">
        <v>10537</v>
      </c>
      <c r="H45" s="165">
        <f>'[16]2. Overall com progres Dec 12'!H45</f>
        <v>6822</v>
      </c>
      <c r="I45" s="161" t="e">
        <f>#REF!</f>
        <v>#REF!</v>
      </c>
      <c r="J45" s="165">
        <f>'[10]2. Overall com progres June 13'!J45</f>
        <v>55</v>
      </c>
      <c r="K45" s="165">
        <f>'[17]2. Overall com progres June 13'!K45</f>
        <v>2470</v>
      </c>
      <c r="L45" s="136">
        <f>'[8]2. Overall com progres June 13'!L45</f>
        <v>707</v>
      </c>
      <c r="M45" s="165" t="e">
        <f t="shared" si="9"/>
        <v>#REF!</v>
      </c>
      <c r="N45" s="86"/>
      <c r="O45" s="69"/>
      <c r="R45" s="64" t="e">
        <f>G45-#REF!</f>
        <v>#REF!</v>
      </c>
      <c r="S45" s="64" t="e">
        <f>C45-#REF!</f>
        <v>#REF!</v>
      </c>
      <c r="T45" s="64" t="e">
        <f>D45-#REF!</f>
        <v>#REF!</v>
      </c>
      <c r="U45" s="64" t="e">
        <f>E45-#REF!</f>
        <v>#REF!</v>
      </c>
      <c r="V45" s="64" t="e">
        <f>F45-#REF!</f>
        <v>#REF!</v>
      </c>
      <c r="W45" s="64" t="e">
        <f>G45-#REF!</f>
        <v>#REF!</v>
      </c>
      <c r="X45" s="64" t="e">
        <f>H45-#REF!</f>
        <v>#REF!</v>
      </c>
      <c r="Y45" s="64" t="e">
        <f>I45-#REF!</f>
        <v>#REF!</v>
      </c>
      <c r="Z45" s="64" t="e">
        <f>J45-#REF!</f>
        <v>#REF!</v>
      </c>
      <c r="AA45" s="64" t="e">
        <f>K45-#REF!</f>
        <v>#REF!</v>
      </c>
      <c r="AB45" s="64" t="e">
        <f>L45-#REF!</f>
        <v>#REF!</v>
      </c>
      <c r="AC45" s="64" t="e">
        <f>M45-#REF!</f>
        <v>#REF!</v>
      </c>
    </row>
    <row r="46" spans="1:29" s="64" customFormat="1" x14ac:dyDescent="0.2">
      <c r="A46" s="247"/>
      <c r="B46" s="67" t="s">
        <v>17</v>
      </c>
      <c r="C46" s="166" t="e">
        <f>SUM(C44:C45)</f>
        <v>#REF!</v>
      </c>
      <c r="D46" s="166">
        <f t="shared" ref="D46:M46" si="10">SUM(D44:D45)</f>
        <v>10275</v>
      </c>
      <c r="E46" s="166">
        <f t="shared" si="10"/>
        <v>9996</v>
      </c>
      <c r="F46" s="166">
        <f t="shared" si="10"/>
        <v>1388</v>
      </c>
      <c r="G46" s="166">
        <f t="shared" si="10"/>
        <v>20389</v>
      </c>
      <c r="H46" s="166">
        <f t="shared" si="10"/>
        <v>12010</v>
      </c>
      <c r="I46" s="166" t="e">
        <f t="shared" si="10"/>
        <v>#REF!</v>
      </c>
      <c r="J46" s="166">
        <f t="shared" si="10"/>
        <v>80</v>
      </c>
      <c r="K46" s="166">
        <f t="shared" si="10"/>
        <v>4461</v>
      </c>
      <c r="L46" s="166">
        <f t="shared" si="10"/>
        <v>2654</v>
      </c>
      <c r="M46" s="166" t="e">
        <f t="shared" si="10"/>
        <v>#REF!</v>
      </c>
      <c r="N46" s="87" t="e">
        <f>M44/M46%</f>
        <v>#REF!</v>
      </c>
      <c r="O46" s="69"/>
      <c r="R46" s="64" t="e">
        <f>G46-#REF!</f>
        <v>#REF!</v>
      </c>
      <c r="S46" s="64" t="e">
        <f>C46-#REF!</f>
        <v>#REF!</v>
      </c>
      <c r="T46" s="64" t="e">
        <f>D46-#REF!</f>
        <v>#REF!</v>
      </c>
      <c r="U46" s="64" t="e">
        <f>E46-#REF!</f>
        <v>#REF!</v>
      </c>
      <c r="V46" s="64" t="e">
        <f>F46-#REF!</f>
        <v>#REF!</v>
      </c>
      <c r="W46" s="64" t="e">
        <f>G46-#REF!</f>
        <v>#REF!</v>
      </c>
      <c r="X46" s="64" t="e">
        <f>H46-#REF!</f>
        <v>#REF!</v>
      </c>
      <c r="Y46" s="64" t="e">
        <f>I46-#REF!</f>
        <v>#REF!</v>
      </c>
      <c r="Z46" s="64" t="e">
        <f>J46-#REF!</f>
        <v>#REF!</v>
      </c>
      <c r="AA46" s="64" t="e">
        <f>K46-#REF!</f>
        <v>#REF!</v>
      </c>
      <c r="AB46" s="64" t="e">
        <f>L46-#REF!</f>
        <v>#REF!</v>
      </c>
      <c r="AC46" s="64" t="e">
        <f>M46-#REF!</f>
        <v>#REF!</v>
      </c>
    </row>
    <row r="47" spans="1:29" s="64" customFormat="1" x14ac:dyDescent="0.2">
      <c r="A47" s="258" t="s">
        <v>32</v>
      </c>
      <c r="B47" s="65" t="s">
        <v>19</v>
      </c>
      <c r="C47" s="165" t="e">
        <f>#REF!</f>
        <v>#REF!</v>
      </c>
      <c r="D47" s="165">
        <f>'[5]2. Overall com progres June 13'!D47</f>
        <v>0</v>
      </c>
      <c r="E47" s="165">
        <f>'[3]2. Overall com progres June 13'!E47</f>
        <v>0</v>
      </c>
      <c r="F47" s="165">
        <f>'[6]2. Overall com progres June 13'!F47</f>
        <v>0</v>
      </c>
      <c r="G47" s="165">
        <v>22888</v>
      </c>
      <c r="H47" s="165">
        <f>'[16]2. Overall com progres Dec 12'!H47</f>
        <v>0</v>
      </c>
      <c r="I47" s="161" t="e">
        <f>#REF!</f>
        <v>#REF!</v>
      </c>
      <c r="J47" s="165">
        <f>'[10]2. Overall com progres June 13'!J47</f>
        <v>0</v>
      </c>
      <c r="K47" s="165">
        <f>'[17]2. Overall com progres June 13'!K47</f>
        <v>55</v>
      </c>
      <c r="L47" s="136">
        <f>'[8]2. Overall com progres June 13'!L47</f>
        <v>0</v>
      </c>
      <c r="M47" s="165" t="e">
        <f>SUM(C47:L47)</f>
        <v>#REF!</v>
      </c>
      <c r="N47" s="86"/>
      <c r="O47" s="69"/>
      <c r="R47" s="64" t="e">
        <f>G47-#REF!</f>
        <v>#REF!</v>
      </c>
      <c r="S47" s="64" t="e">
        <f>C47-#REF!</f>
        <v>#REF!</v>
      </c>
      <c r="T47" s="64" t="e">
        <f>D47-#REF!</f>
        <v>#REF!</v>
      </c>
      <c r="U47" s="64" t="e">
        <f>E47-#REF!</f>
        <v>#REF!</v>
      </c>
      <c r="V47" s="64" t="e">
        <f>F47-#REF!</f>
        <v>#REF!</v>
      </c>
      <c r="W47" s="64" t="e">
        <f>G47-#REF!</f>
        <v>#REF!</v>
      </c>
      <c r="X47" s="64" t="e">
        <f>H47-#REF!</f>
        <v>#REF!</v>
      </c>
      <c r="Y47" s="64" t="e">
        <f>I47-#REF!</f>
        <v>#REF!</v>
      </c>
      <c r="Z47" s="64" t="e">
        <f>J47-#REF!</f>
        <v>#REF!</v>
      </c>
      <c r="AA47" s="64" t="e">
        <f>K47-#REF!</f>
        <v>#REF!</v>
      </c>
      <c r="AB47" s="64" t="e">
        <f>L47-#REF!</f>
        <v>#REF!</v>
      </c>
      <c r="AC47" s="64" t="e">
        <f>M47-#REF!</f>
        <v>#REF!</v>
      </c>
    </row>
    <row r="48" spans="1:29" s="64" customFormat="1" x14ac:dyDescent="0.2">
      <c r="A48" s="258"/>
      <c r="B48" s="66" t="s">
        <v>20</v>
      </c>
      <c r="C48" s="165" t="e">
        <f>#REF!</f>
        <v>#REF!</v>
      </c>
      <c r="D48" s="165">
        <f>'[5]2. Overall com progres June 13'!D48</f>
        <v>0</v>
      </c>
      <c r="E48" s="165">
        <f>'[3]2. Overall com progres June 13'!E48</f>
        <v>0</v>
      </c>
      <c r="F48" s="165">
        <f>'[6]2. Overall com progres June 13'!F48</f>
        <v>0</v>
      </c>
      <c r="G48" s="165">
        <v>2494</v>
      </c>
      <c r="H48" s="165">
        <f>'[16]2. Overall com progres Dec 12'!H48</f>
        <v>0</v>
      </c>
      <c r="I48" s="161" t="e">
        <f>#REF!</f>
        <v>#REF!</v>
      </c>
      <c r="J48" s="165">
        <f>'[10]2. Overall com progres June 13'!J48</f>
        <v>0</v>
      </c>
      <c r="K48" s="165">
        <f>'[17]2. Overall com progres June 13'!K48</f>
        <v>38</v>
      </c>
      <c r="L48" s="136">
        <f>'[8]2. Overall com progres June 13'!L48</f>
        <v>0</v>
      </c>
      <c r="M48" s="165" t="e">
        <f>SUM(C48:L48)</f>
        <v>#REF!</v>
      </c>
      <c r="N48" s="86"/>
      <c r="O48" s="69"/>
      <c r="R48" s="64" t="e">
        <f>G48-#REF!</f>
        <v>#REF!</v>
      </c>
      <c r="S48" s="64" t="e">
        <f>C48-#REF!</f>
        <v>#REF!</v>
      </c>
      <c r="T48" s="64" t="e">
        <f>D48-#REF!</f>
        <v>#REF!</v>
      </c>
      <c r="U48" s="64" t="e">
        <f>E48-#REF!</f>
        <v>#REF!</v>
      </c>
      <c r="V48" s="64" t="e">
        <f>F48-#REF!</f>
        <v>#REF!</v>
      </c>
      <c r="W48" s="64" t="e">
        <f>G48-#REF!</f>
        <v>#REF!</v>
      </c>
      <c r="X48" s="64" t="e">
        <f>H48-#REF!</f>
        <v>#REF!</v>
      </c>
      <c r="Y48" s="64" t="e">
        <f>I48-#REF!</f>
        <v>#REF!</v>
      </c>
      <c r="Z48" s="64" t="e">
        <f>J48-#REF!</f>
        <v>#REF!</v>
      </c>
      <c r="AA48" s="64" t="e">
        <f>K48-#REF!</f>
        <v>#REF!</v>
      </c>
      <c r="AB48" s="64" t="e">
        <f>L48-#REF!</f>
        <v>#REF!</v>
      </c>
      <c r="AC48" s="64" t="e">
        <f>M48-#REF!</f>
        <v>#REF!</v>
      </c>
    </row>
    <row r="49" spans="1:29" s="64" customFormat="1" x14ac:dyDescent="0.2">
      <c r="A49" s="258"/>
      <c r="B49" s="67" t="s">
        <v>17</v>
      </c>
      <c r="C49" s="166" t="e">
        <f>SUM(C47:C48)</f>
        <v>#REF!</v>
      </c>
      <c r="D49" s="166">
        <f t="shared" ref="D49:M49" si="11">SUM(D47:D48)</f>
        <v>0</v>
      </c>
      <c r="E49" s="166">
        <f t="shared" si="11"/>
        <v>0</v>
      </c>
      <c r="F49" s="166">
        <f t="shared" si="11"/>
        <v>0</v>
      </c>
      <c r="G49" s="166">
        <f t="shared" si="11"/>
        <v>25382</v>
      </c>
      <c r="H49" s="166">
        <f t="shared" si="11"/>
        <v>0</v>
      </c>
      <c r="I49" s="166" t="e">
        <f t="shared" si="11"/>
        <v>#REF!</v>
      </c>
      <c r="J49" s="166">
        <f t="shared" si="11"/>
        <v>0</v>
      </c>
      <c r="K49" s="166">
        <f t="shared" si="11"/>
        <v>93</v>
      </c>
      <c r="L49" s="166">
        <f t="shared" si="11"/>
        <v>0</v>
      </c>
      <c r="M49" s="166" t="e">
        <f t="shared" si="11"/>
        <v>#REF!</v>
      </c>
      <c r="N49" s="86"/>
      <c r="O49" s="69"/>
      <c r="R49" s="64" t="e">
        <f>G49-#REF!</f>
        <v>#REF!</v>
      </c>
      <c r="S49" s="64" t="e">
        <f>C49-#REF!</f>
        <v>#REF!</v>
      </c>
      <c r="T49" s="64" t="e">
        <f>D49-#REF!</f>
        <v>#REF!</v>
      </c>
      <c r="U49" s="64" t="e">
        <f>E49-#REF!</f>
        <v>#REF!</v>
      </c>
      <c r="V49" s="64" t="e">
        <f>F49-#REF!</f>
        <v>#REF!</v>
      </c>
      <c r="W49" s="64" t="e">
        <f>G49-#REF!</f>
        <v>#REF!</v>
      </c>
      <c r="X49" s="64" t="e">
        <f>H49-#REF!</f>
        <v>#REF!</v>
      </c>
      <c r="Y49" s="64" t="e">
        <f>I49-#REF!</f>
        <v>#REF!</v>
      </c>
      <c r="Z49" s="64" t="e">
        <f>J49-#REF!</f>
        <v>#REF!</v>
      </c>
      <c r="AA49" s="64" t="e">
        <f>K49-#REF!</f>
        <v>#REF!</v>
      </c>
      <c r="AB49" s="64" t="e">
        <f>L49-#REF!</f>
        <v>#REF!</v>
      </c>
      <c r="AC49" s="64" t="e">
        <f>M49-#REF!</f>
        <v>#REF!</v>
      </c>
    </row>
    <row r="50" spans="1:29" s="64" customFormat="1" x14ac:dyDescent="0.2">
      <c r="A50" s="247" t="s">
        <v>219</v>
      </c>
      <c r="B50" s="65" t="s">
        <v>19</v>
      </c>
      <c r="C50" s="165" t="e">
        <f>#REF!</f>
        <v>#REF!</v>
      </c>
      <c r="D50" s="165">
        <f>'[5]2. Overall com progres June 13'!D50</f>
        <v>1243</v>
      </c>
      <c r="E50" s="165">
        <f>'[3]2. Overall com progres June 13'!E50</f>
        <v>1688</v>
      </c>
      <c r="F50" s="165">
        <f>'[6]2. Overall com progres June 13'!F50</f>
        <v>95</v>
      </c>
      <c r="G50" s="165">
        <v>3153</v>
      </c>
      <c r="H50" s="165">
        <f>'[16]2. Overall com progres Dec 12'!H50</f>
        <v>8442</v>
      </c>
      <c r="I50" s="161">
        <v>410</v>
      </c>
      <c r="J50" s="165">
        <f>'[10]2. Overall com progres June 13'!J50</f>
        <v>4777</v>
      </c>
      <c r="K50" s="165">
        <f>'[17]2. Overall com progres June 13'!K50</f>
        <v>1066</v>
      </c>
      <c r="L50" s="136">
        <f>'[8]2. Overall com progres June 13'!L50</f>
        <v>867</v>
      </c>
      <c r="M50" s="165" t="e">
        <f>SUM(C50:L50)</f>
        <v>#REF!</v>
      </c>
      <c r="N50" s="86"/>
      <c r="O50" s="69"/>
      <c r="R50" s="64" t="e">
        <f>G50-#REF!</f>
        <v>#REF!</v>
      </c>
      <c r="S50" s="64" t="e">
        <f>C50-#REF!</f>
        <v>#REF!</v>
      </c>
      <c r="T50" s="64" t="e">
        <f>D50-#REF!</f>
        <v>#REF!</v>
      </c>
      <c r="U50" s="64" t="e">
        <f>E50-#REF!</f>
        <v>#REF!</v>
      </c>
      <c r="V50" s="64" t="e">
        <f>F50-#REF!</f>
        <v>#REF!</v>
      </c>
      <c r="W50" s="64" t="e">
        <f>G50-#REF!</f>
        <v>#REF!</v>
      </c>
      <c r="X50" s="64" t="e">
        <f>H50-#REF!</f>
        <v>#REF!</v>
      </c>
      <c r="Y50" s="64" t="e">
        <f>I50-#REF!</f>
        <v>#REF!</v>
      </c>
      <c r="Z50" s="64" t="e">
        <f>J50-#REF!</f>
        <v>#REF!</v>
      </c>
      <c r="AA50" s="64" t="e">
        <f>K50-#REF!</f>
        <v>#REF!</v>
      </c>
      <c r="AB50" s="64" t="e">
        <f>L50-#REF!</f>
        <v>#REF!</v>
      </c>
      <c r="AC50" s="64" t="e">
        <f>M50-#REF!</f>
        <v>#REF!</v>
      </c>
    </row>
    <row r="51" spans="1:29" s="64" customFormat="1" x14ac:dyDescent="0.2">
      <c r="A51" s="247"/>
      <c r="B51" s="66" t="s">
        <v>20</v>
      </c>
      <c r="C51" s="165" t="e">
        <f>#REF!</f>
        <v>#REF!</v>
      </c>
      <c r="D51" s="165">
        <f>'[5]2. Overall com progres June 13'!D51</f>
        <v>0</v>
      </c>
      <c r="E51" s="165">
        <f>'[3]2. Overall com progres June 13'!E51</f>
        <v>0</v>
      </c>
      <c r="F51" s="165">
        <f>'[6]2. Overall com progres June 13'!F51</f>
        <v>0</v>
      </c>
      <c r="G51" s="165">
        <v>0</v>
      </c>
      <c r="H51" s="165">
        <f>'[16]2. Overall com progres Dec 12'!H51</f>
        <v>1770</v>
      </c>
      <c r="I51" s="161" t="e">
        <f>#REF!</f>
        <v>#REF!</v>
      </c>
      <c r="J51" s="165">
        <f>'[10]2. Overall com progres June 13'!J51</f>
        <v>0</v>
      </c>
      <c r="K51" s="165">
        <f>'[17]2. Overall com progres June 13'!K51</f>
        <v>467</v>
      </c>
      <c r="L51" s="136">
        <f>'[8]2. Overall com progres June 13'!L51</f>
        <v>675</v>
      </c>
      <c r="M51" s="165" t="e">
        <f>SUM(C51:L51)</f>
        <v>#REF!</v>
      </c>
      <c r="N51" s="86"/>
      <c r="O51" s="69"/>
      <c r="R51" s="64" t="e">
        <f>G51-#REF!</f>
        <v>#REF!</v>
      </c>
      <c r="S51" s="64" t="e">
        <f>C51-#REF!</f>
        <v>#REF!</v>
      </c>
      <c r="T51" s="64" t="e">
        <f>D51-#REF!</f>
        <v>#REF!</v>
      </c>
      <c r="U51" s="64" t="e">
        <f>E51-#REF!</f>
        <v>#REF!</v>
      </c>
      <c r="V51" s="64" t="e">
        <f>F51-#REF!</f>
        <v>#REF!</v>
      </c>
      <c r="W51" s="64" t="e">
        <f>G51-#REF!</f>
        <v>#REF!</v>
      </c>
      <c r="X51" s="64" t="e">
        <f>H51-#REF!</f>
        <v>#REF!</v>
      </c>
      <c r="Y51" s="64" t="e">
        <f>I51-#REF!</f>
        <v>#REF!</v>
      </c>
      <c r="Z51" s="64" t="e">
        <f>J51-#REF!</f>
        <v>#REF!</v>
      </c>
      <c r="AA51" s="64" t="e">
        <f>K51-#REF!</f>
        <v>#REF!</v>
      </c>
      <c r="AB51" s="64" t="e">
        <f>L51-#REF!</f>
        <v>#REF!</v>
      </c>
      <c r="AC51" s="64" t="e">
        <f>M51-#REF!</f>
        <v>#REF!</v>
      </c>
    </row>
    <row r="52" spans="1:29" s="64" customFormat="1" ht="13.5" thickBot="1" x14ac:dyDescent="0.25">
      <c r="A52" s="248"/>
      <c r="B52" s="74" t="s">
        <v>17</v>
      </c>
      <c r="C52" s="166" t="e">
        <f t="shared" ref="C52:L52" si="12">SUM(C50:C51)</f>
        <v>#REF!</v>
      </c>
      <c r="D52" s="166">
        <f t="shared" si="12"/>
        <v>1243</v>
      </c>
      <c r="E52" s="166">
        <f t="shared" si="12"/>
        <v>1688</v>
      </c>
      <c r="F52" s="166">
        <f t="shared" si="12"/>
        <v>95</v>
      </c>
      <c r="G52" s="166">
        <f t="shared" si="12"/>
        <v>3153</v>
      </c>
      <c r="H52" s="166">
        <f t="shared" si="12"/>
        <v>10212</v>
      </c>
      <c r="I52" s="166" t="e">
        <f t="shared" si="12"/>
        <v>#REF!</v>
      </c>
      <c r="J52" s="166">
        <f t="shared" si="12"/>
        <v>4777</v>
      </c>
      <c r="K52" s="166">
        <f t="shared" si="12"/>
        <v>1533</v>
      </c>
      <c r="L52" s="166">
        <f t="shared" si="12"/>
        <v>1542</v>
      </c>
      <c r="M52" s="166" t="e">
        <f t="shared" ref="M52" si="13">SUM(M50:M51)</f>
        <v>#REF!</v>
      </c>
      <c r="N52" s="86"/>
      <c r="O52" s="69"/>
      <c r="R52" s="64" t="e">
        <f>G52-#REF!</f>
        <v>#REF!</v>
      </c>
      <c r="S52" s="64" t="e">
        <f>C52-#REF!</f>
        <v>#REF!</v>
      </c>
      <c r="T52" s="64" t="e">
        <f>D52-#REF!</f>
        <v>#REF!</v>
      </c>
      <c r="U52" s="64" t="e">
        <f>E52-#REF!</f>
        <v>#REF!</v>
      </c>
      <c r="V52" s="64" t="e">
        <f>F52-#REF!</f>
        <v>#REF!</v>
      </c>
      <c r="W52" s="64" t="e">
        <f>G52-#REF!</f>
        <v>#REF!</v>
      </c>
      <c r="X52" s="64" t="e">
        <f>H52-#REF!</f>
        <v>#REF!</v>
      </c>
      <c r="Y52" s="64" t="e">
        <f>I52-#REF!</f>
        <v>#REF!</v>
      </c>
      <c r="Z52" s="64" t="e">
        <f>J52-#REF!</f>
        <v>#REF!</v>
      </c>
      <c r="AA52" s="64" t="e">
        <f>K52-#REF!</f>
        <v>#REF!</v>
      </c>
      <c r="AB52" s="64" t="e">
        <f>L52-#REF!</f>
        <v>#REF!</v>
      </c>
      <c r="AC52" s="64" t="e">
        <f>M52-#REF!</f>
        <v>#REF!</v>
      </c>
    </row>
    <row r="53" spans="1:29" x14ac:dyDescent="0.2">
      <c r="A53" s="75" t="s">
        <v>260</v>
      </c>
      <c r="E53" s="103"/>
      <c r="G53" s="134"/>
      <c r="H53" s="122"/>
      <c r="I53" s="161"/>
      <c r="K53" s="165"/>
      <c r="L53" s="136"/>
      <c r="R53" s="64" t="e">
        <f>G53-#REF!</f>
        <v>#REF!</v>
      </c>
      <c r="S53" s="64"/>
    </row>
    <row r="54" spans="1:29" x14ac:dyDescent="0.2">
      <c r="A54" s="75" t="s">
        <v>269</v>
      </c>
      <c r="E54" s="103"/>
      <c r="G54" s="75"/>
      <c r="H54" s="122"/>
      <c r="S54" s="64"/>
    </row>
    <row r="55" spans="1:29" x14ac:dyDescent="0.2">
      <c r="E55" s="103"/>
      <c r="S55" s="64"/>
    </row>
    <row r="56" spans="1:29" x14ac:dyDescent="0.2">
      <c r="E56" s="103"/>
    </row>
    <row r="57" spans="1:29" x14ac:dyDescent="0.2">
      <c r="E57" s="165"/>
    </row>
  </sheetData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pane xSplit="2" ySplit="3" topLeftCell="C8" activePane="bottomRight" state="frozen"/>
      <selection activeCell="B27" sqref="B27"/>
      <selection pane="topRight" activeCell="B27" sqref="B27"/>
      <selection pane="bottomLeft" activeCell="B27" sqref="B27"/>
      <selection pane="bottomRight" activeCell="B27" sqref="B27"/>
    </sheetView>
  </sheetViews>
  <sheetFormatPr defaultRowHeight="15" x14ac:dyDescent="0.25"/>
  <cols>
    <col min="1" max="1" width="35.42578125" style="184" customWidth="1"/>
    <col min="2" max="2" width="25.5703125" style="184" customWidth="1"/>
    <col min="3" max="3" width="18.140625" style="184" customWidth="1"/>
    <col min="4" max="4" width="16.28515625" style="184" customWidth="1"/>
    <col min="5" max="5" width="12.140625" style="184" customWidth="1"/>
    <col min="6" max="6" width="16.140625" style="184" customWidth="1"/>
    <col min="7" max="7" width="13.42578125" style="184" customWidth="1"/>
    <col min="8" max="8" width="12.85546875" style="184" customWidth="1"/>
    <col min="9" max="9" width="13.85546875" style="184" customWidth="1"/>
    <col min="10" max="10" width="12.85546875" style="184" customWidth="1"/>
    <col min="11" max="11" width="16.7109375" style="184" customWidth="1"/>
    <col min="12" max="12" width="16.5703125" style="184" customWidth="1"/>
    <col min="13" max="13" width="13.140625" style="184" customWidth="1"/>
    <col min="14" max="14" width="16.28515625" style="184" customWidth="1"/>
    <col min="15" max="15" width="15.7109375" style="184" customWidth="1"/>
    <col min="16" max="16" width="16.7109375" style="184" customWidth="1"/>
    <col min="17" max="17" width="16.28515625" style="184" customWidth="1"/>
    <col min="18" max="18" width="17.28515625" style="184" customWidth="1"/>
    <col min="19" max="19" width="17.5703125" style="184" customWidth="1"/>
    <col min="20" max="20" width="15.7109375" style="184" customWidth="1"/>
    <col min="21" max="21" width="17.7109375" style="184" customWidth="1"/>
    <col min="22" max="22" width="18.140625" style="184" customWidth="1"/>
    <col min="23" max="23" width="16.28515625" style="184" customWidth="1"/>
    <col min="24" max="24" width="19.140625" style="184" customWidth="1"/>
    <col min="25" max="26" width="13.85546875" style="184" customWidth="1"/>
    <col min="27" max="27" width="12.140625" style="184" customWidth="1"/>
    <col min="28" max="28" width="13.5703125" style="184" customWidth="1"/>
    <col min="29" max="29" width="14.5703125" style="184" customWidth="1"/>
    <col min="30" max="30" width="13.140625" style="184" customWidth="1"/>
    <col min="31" max="31" width="12.42578125" style="184" customWidth="1"/>
    <col min="32" max="32" width="14" style="184" customWidth="1"/>
    <col min="33" max="16384" width="9.140625" style="184"/>
  </cols>
  <sheetData>
    <row r="1" spans="1:32" ht="15.75" x14ac:dyDescent="0.25">
      <c r="A1" s="182" t="s">
        <v>282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</row>
    <row r="2" spans="1:32" ht="15.75" x14ac:dyDescent="0.25">
      <c r="A2" s="182" t="s">
        <v>283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</row>
    <row r="3" spans="1:32" x14ac:dyDescent="0.25">
      <c r="A3" s="272" t="s">
        <v>0</v>
      </c>
      <c r="B3" s="272"/>
      <c r="C3" s="185">
        <v>30651</v>
      </c>
      <c r="D3" s="185">
        <v>31017</v>
      </c>
      <c r="E3" s="185">
        <v>31382</v>
      </c>
      <c r="F3" s="185">
        <v>31747</v>
      </c>
      <c r="G3" s="185">
        <v>32112</v>
      </c>
      <c r="H3" s="185">
        <v>32478</v>
      </c>
      <c r="I3" s="185">
        <v>32843</v>
      </c>
      <c r="J3" s="185">
        <v>33208</v>
      </c>
      <c r="K3" s="185">
        <v>33573</v>
      </c>
      <c r="L3" s="185">
        <v>33939</v>
      </c>
      <c r="M3" s="185">
        <v>34304</v>
      </c>
      <c r="N3" s="185">
        <v>34669</v>
      </c>
      <c r="O3" s="185">
        <v>35034</v>
      </c>
      <c r="P3" s="185">
        <v>35400</v>
      </c>
      <c r="Q3" s="185">
        <v>35765</v>
      </c>
      <c r="R3" s="185">
        <v>36130</v>
      </c>
      <c r="S3" s="185">
        <v>36495</v>
      </c>
      <c r="T3" s="185">
        <v>36861</v>
      </c>
      <c r="U3" s="185">
        <v>37226</v>
      </c>
      <c r="V3" s="185">
        <v>37591</v>
      </c>
      <c r="W3" s="185">
        <v>37956</v>
      </c>
      <c r="X3" s="185">
        <v>38322</v>
      </c>
      <c r="Y3" s="185">
        <v>38687</v>
      </c>
      <c r="Z3" s="185">
        <v>39052</v>
      </c>
      <c r="AA3" s="185">
        <v>39417</v>
      </c>
      <c r="AB3" s="185">
        <v>39783</v>
      </c>
      <c r="AC3" s="185">
        <v>40148</v>
      </c>
      <c r="AD3" s="185">
        <v>40513</v>
      </c>
      <c r="AE3" s="185">
        <v>40878</v>
      </c>
      <c r="AF3" s="185">
        <v>41244</v>
      </c>
    </row>
    <row r="4" spans="1:32" x14ac:dyDescent="0.25">
      <c r="A4" s="186" t="s">
        <v>284</v>
      </c>
      <c r="B4" s="187"/>
      <c r="C4" s="188">
        <v>2</v>
      </c>
      <c r="D4" s="188">
        <v>3</v>
      </c>
      <c r="E4" s="188">
        <v>5</v>
      </c>
      <c r="F4" s="188">
        <v>5</v>
      </c>
      <c r="G4" s="188">
        <v>5</v>
      </c>
      <c r="H4" s="188">
        <v>5</v>
      </c>
      <c r="I4" s="188">
        <v>5</v>
      </c>
      <c r="J4" s="188">
        <v>7</v>
      </c>
      <c r="K4" s="188">
        <v>7</v>
      </c>
      <c r="L4" s="188">
        <v>7</v>
      </c>
      <c r="M4" s="188">
        <v>18</v>
      </c>
      <c r="N4" s="188">
        <v>18</v>
      </c>
      <c r="O4" s="188">
        <v>19</v>
      </c>
      <c r="P4" s="188">
        <v>22</v>
      </c>
      <c r="Q4" s="188">
        <v>29</v>
      </c>
      <c r="R4" s="188">
        <v>35</v>
      </c>
      <c r="S4" s="188">
        <v>58</v>
      </c>
      <c r="T4" s="188">
        <v>63</v>
      </c>
      <c r="U4" s="188">
        <v>64</v>
      </c>
      <c r="V4" s="188">
        <v>68</v>
      </c>
      <c r="W4" s="188">
        <v>69</v>
      </c>
      <c r="X4" s="188">
        <v>80</v>
      </c>
      <c r="Y4" s="188">
        <v>87</v>
      </c>
      <c r="Z4" s="188">
        <v>93</v>
      </c>
      <c r="AA4" s="188">
        <v>93</v>
      </c>
      <c r="AB4" s="188">
        <v>94</v>
      </c>
      <c r="AC4" s="188">
        <v>105</v>
      </c>
      <c r="AD4" s="188">
        <v>109</v>
      </c>
      <c r="AE4" s="188">
        <v>112</v>
      </c>
      <c r="AF4" s="189">
        <v>112</v>
      </c>
    </row>
    <row r="5" spans="1:32" x14ac:dyDescent="0.25">
      <c r="A5" s="190" t="s">
        <v>285</v>
      </c>
      <c r="B5" s="187"/>
      <c r="C5" s="188">
        <v>25</v>
      </c>
      <c r="D5" s="188">
        <v>86</v>
      </c>
      <c r="E5" s="188">
        <v>110</v>
      </c>
      <c r="F5" s="188">
        <v>110</v>
      </c>
      <c r="G5" s="188">
        <v>110</v>
      </c>
      <c r="H5" s="188">
        <v>110</v>
      </c>
      <c r="I5" s="188">
        <v>110</v>
      </c>
      <c r="J5" s="188">
        <v>120</v>
      </c>
      <c r="K5" s="188">
        <v>121</v>
      </c>
      <c r="L5" s="188">
        <v>121</v>
      </c>
      <c r="M5" s="188">
        <v>165</v>
      </c>
      <c r="N5" s="188">
        <v>250</v>
      </c>
      <c r="O5" s="188">
        <v>284</v>
      </c>
      <c r="P5" s="188">
        <v>440</v>
      </c>
      <c r="Q5" s="188">
        <v>528</v>
      </c>
      <c r="R5" s="188">
        <v>665</v>
      </c>
      <c r="S5" s="188">
        <v>997</v>
      </c>
      <c r="T5" s="188">
        <v>1093</v>
      </c>
      <c r="U5" s="188">
        <v>1205</v>
      </c>
      <c r="V5" s="188">
        <v>1521</v>
      </c>
      <c r="W5" s="188">
        <v>1642</v>
      </c>
      <c r="X5" s="188">
        <v>1894</v>
      </c>
      <c r="Y5" s="188">
        <v>2459</v>
      </c>
      <c r="Z5" s="188">
        <v>2647</v>
      </c>
      <c r="AA5" s="188">
        <v>2852</v>
      </c>
      <c r="AB5" s="188">
        <v>3187</v>
      </c>
      <c r="AC5" s="188">
        <v>3468</v>
      </c>
      <c r="AD5" s="188">
        <v>3739</v>
      </c>
      <c r="AE5" s="188">
        <v>3528</v>
      </c>
      <c r="AF5" s="189">
        <v>3579</v>
      </c>
    </row>
    <row r="6" spans="1:32" x14ac:dyDescent="0.25">
      <c r="A6" s="190" t="s">
        <v>286</v>
      </c>
      <c r="B6" s="187"/>
      <c r="C6" s="188">
        <v>9429.2324966162178</v>
      </c>
      <c r="D6" s="188">
        <v>27541.183979328169</v>
      </c>
      <c r="E6" s="188">
        <v>32194.764531807559</v>
      </c>
      <c r="F6" s="188">
        <v>36593.247176079742</v>
      </c>
      <c r="G6" s="188">
        <v>41864.227267134251</v>
      </c>
      <c r="H6" s="188">
        <v>47702.526325827494</v>
      </c>
      <c r="I6" s="188">
        <v>52553.299126368896</v>
      </c>
      <c r="J6" s="188">
        <v>63040.744524424765</v>
      </c>
      <c r="K6" s="188">
        <v>69370.538999630866</v>
      </c>
      <c r="L6" s="188">
        <v>75465.052497846686</v>
      </c>
      <c r="M6" s="188">
        <v>93525.429568106309</v>
      </c>
      <c r="N6" s="188">
        <v>106187.28372093022</v>
      </c>
      <c r="O6" s="188">
        <v>120297.6977728559</v>
      </c>
      <c r="P6" s="188">
        <v>163222.66893687705</v>
      </c>
      <c r="Q6" s="188">
        <v>217658.34453057707</v>
      </c>
      <c r="R6" s="188">
        <v>292997.91411344899</v>
      </c>
      <c r="S6" s="188">
        <v>391655.85943152453</v>
      </c>
      <c r="T6" s="188">
        <v>473371.01459948317</v>
      </c>
      <c r="U6" s="188">
        <v>606186.94726836472</v>
      </c>
      <c r="V6" s="188">
        <v>740798.94726836472</v>
      </c>
      <c r="W6" s="188">
        <v>842214.94726836472</v>
      </c>
      <c r="X6" s="188">
        <v>974557.02857142861</v>
      </c>
      <c r="Y6" s="188">
        <v>1153289.6369262952</v>
      </c>
      <c r="Z6" s="188">
        <v>1376039.6050510644</v>
      </c>
      <c r="AA6" s="188">
        <v>1792948</v>
      </c>
      <c r="AB6" s="188">
        <v>2206474</v>
      </c>
      <c r="AC6" s="188">
        <v>2985924</v>
      </c>
      <c r="AD6" s="188">
        <v>4148316</v>
      </c>
      <c r="AE6" s="188">
        <v>4605847</v>
      </c>
      <c r="AF6" s="189">
        <v>5190417</v>
      </c>
    </row>
    <row r="7" spans="1:32" x14ac:dyDescent="0.25">
      <c r="A7" s="191" t="s">
        <v>287</v>
      </c>
      <c r="B7" s="192"/>
      <c r="C7" s="193">
        <v>0</v>
      </c>
      <c r="D7" s="188">
        <v>0</v>
      </c>
      <c r="E7" s="188">
        <v>0</v>
      </c>
      <c r="F7" s="188">
        <v>0</v>
      </c>
      <c r="G7" s="188">
        <v>0</v>
      </c>
      <c r="H7" s="188">
        <v>0</v>
      </c>
      <c r="I7" s="188">
        <v>0</v>
      </c>
      <c r="J7" s="188">
        <v>0</v>
      </c>
      <c r="K7" s="188">
        <v>0</v>
      </c>
      <c r="L7" s="188">
        <v>0</v>
      </c>
      <c r="M7" s="188">
        <v>0</v>
      </c>
      <c r="N7" s="188">
        <v>0</v>
      </c>
      <c r="O7" s="188"/>
      <c r="P7" s="188">
        <v>0</v>
      </c>
      <c r="Q7" s="188">
        <v>0</v>
      </c>
      <c r="R7" s="188">
        <v>0</v>
      </c>
      <c r="S7" s="188">
        <v>0</v>
      </c>
      <c r="T7" s="188">
        <v>0</v>
      </c>
      <c r="U7" s="188">
        <v>0</v>
      </c>
      <c r="V7" s="188">
        <v>0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88">
        <v>261</v>
      </c>
      <c r="AD7" s="188">
        <v>484</v>
      </c>
      <c r="AE7" s="188">
        <v>624</v>
      </c>
      <c r="AF7" s="189">
        <v>765</v>
      </c>
    </row>
    <row r="8" spans="1:32" x14ac:dyDescent="0.25">
      <c r="A8" s="268" t="s">
        <v>13</v>
      </c>
      <c r="B8" s="194" t="s">
        <v>14</v>
      </c>
      <c r="C8" s="188">
        <v>0</v>
      </c>
      <c r="D8" s="188">
        <v>76</v>
      </c>
      <c r="E8" s="188">
        <v>103</v>
      </c>
      <c r="F8" s="188">
        <v>124</v>
      </c>
      <c r="G8" s="188">
        <v>161</v>
      </c>
      <c r="H8" s="188">
        <v>230</v>
      </c>
      <c r="I8" s="188">
        <v>287</v>
      </c>
      <c r="J8" s="188">
        <v>403</v>
      </c>
      <c r="K8" s="188">
        <v>507</v>
      </c>
      <c r="L8" s="188">
        <v>612</v>
      </c>
      <c r="M8" s="188">
        <v>832</v>
      </c>
      <c r="N8" s="188">
        <v>1100</v>
      </c>
      <c r="O8" s="188">
        <v>1295</v>
      </c>
      <c r="P8" s="188">
        <v>1878</v>
      </c>
      <c r="Q8" s="188">
        <v>2682</v>
      </c>
      <c r="R8" s="188">
        <v>3460</v>
      </c>
      <c r="S8" s="188">
        <v>4909</v>
      </c>
      <c r="T8" s="188">
        <v>6805</v>
      </c>
      <c r="U8" s="188">
        <v>9623</v>
      </c>
      <c r="V8" s="188">
        <v>11806</v>
      </c>
      <c r="W8" s="188">
        <v>14066</v>
      </c>
      <c r="X8" s="188">
        <v>17196</v>
      </c>
      <c r="Y8" s="188">
        <v>21224</v>
      </c>
      <c r="Z8" s="188">
        <v>25917</v>
      </c>
      <c r="AA8" s="188">
        <v>34357</v>
      </c>
      <c r="AB8" s="188">
        <v>42040</v>
      </c>
      <c r="AC8" s="188">
        <v>69350</v>
      </c>
      <c r="AD8" s="188">
        <v>107848</v>
      </c>
      <c r="AE8" s="188">
        <v>126925</v>
      </c>
      <c r="AF8" s="189">
        <v>151842</v>
      </c>
    </row>
    <row r="9" spans="1:32" x14ac:dyDescent="0.25">
      <c r="A9" s="268"/>
      <c r="B9" s="195" t="s">
        <v>15</v>
      </c>
      <c r="C9" s="188">
        <v>178</v>
      </c>
      <c r="D9" s="188">
        <v>401</v>
      </c>
      <c r="E9" s="188">
        <v>483</v>
      </c>
      <c r="F9" s="188">
        <v>566</v>
      </c>
      <c r="G9" s="188">
        <v>754</v>
      </c>
      <c r="H9" s="188">
        <v>979</v>
      </c>
      <c r="I9" s="188">
        <v>1158</v>
      </c>
      <c r="J9" s="188">
        <v>1373</v>
      </c>
      <c r="K9" s="188">
        <v>1562</v>
      </c>
      <c r="L9" s="188">
        <v>1723</v>
      </c>
      <c r="M9" s="188">
        <v>2150</v>
      </c>
      <c r="N9" s="188">
        <v>2594</v>
      </c>
      <c r="O9" s="188">
        <v>2866</v>
      </c>
      <c r="P9" s="188">
        <v>3877</v>
      </c>
      <c r="Q9" s="188">
        <v>5222</v>
      </c>
      <c r="R9" s="188">
        <v>7758</v>
      </c>
      <c r="S9" s="188">
        <v>10700.1</v>
      </c>
      <c r="T9" s="188">
        <v>14087.25</v>
      </c>
      <c r="U9" s="188">
        <v>19122.25</v>
      </c>
      <c r="V9" s="188">
        <v>23567.25</v>
      </c>
      <c r="W9" s="188">
        <v>28023.25</v>
      </c>
      <c r="X9" s="188">
        <v>33276.25</v>
      </c>
      <c r="Y9" s="188">
        <v>41472.25</v>
      </c>
      <c r="Z9" s="188">
        <v>51345.25</v>
      </c>
      <c r="AA9" s="188">
        <v>75369</v>
      </c>
      <c r="AB9" s="188">
        <v>94891</v>
      </c>
      <c r="AC9" s="188">
        <v>113495</v>
      </c>
      <c r="AD9" s="188">
        <v>136575</v>
      </c>
      <c r="AE9" s="188">
        <v>142643</v>
      </c>
      <c r="AF9" s="189">
        <v>150078</v>
      </c>
    </row>
    <row r="10" spans="1:32" x14ac:dyDescent="0.25">
      <c r="A10" s="268"/>
      <c r="B10" s="195" t="s">
        <v>16</v>
      </c>
      <c r="C10" s="188">
        <v>0</v>
      </c>
      <c r="D10" s="188">
        <v>0</v>
      </c>
      <c r="E10" s="188">
        <v>0</v>
      </c>
      <c r="F10" s="188">
        <v>0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 s="188">
        <v>0</v>
      </c>
      <c r="M10" s="188">
        <v>10</v>
      </c>
      <c r="N10" s="188">
        <v>52</v>
      </c>
      <c r="O10" s="188">
        <v>52</v>
      </c>
      <c r="P10" s="188">
        <v>156</v>
      </c>
      <c r="Q10" s="188">
        <v>328</v>
      </c>
      <c r="R10" s="188">
        <v>483</v>
      </c>
      <c r="S10" s="188">
        <v>714.1</v>
      </c>
      <c r="T10" s="188">
        <v>891.1</v>
      </c>
      <c r="U10" s="188">
        <v>1078.0999999999999</v>
      </c>
      <c r="V10" s="188">
        <v>1252.0999999999999</v>
      </c>
      <c r="W10" s="188">
        <v>1477.1</v>
      </c>
      <c r="X10" s="188">
        <v>1584.1</v>
      </c>
      <c r="Y10" s="188">
        <v>2230.1</v>
      </c>
      <c r="Z10" s="188">
        <v>2913.1</v>
      </c>
      <c r="AA10" s="188">
        <v>4066</v>
      </c>
      <c r="AB10" s="188">
        <v>5387</v>
      </c>
      <c r="AC10" s="188">
        <v>7553</v>
      </c>
      <c r="AD10" s="188">
        <v>10447</v>
      </c>
      <c r="AE10" s="188">
        <v>10437</v>
      </c>
      <c r="AF10" s="189">
        <v>11224</v>
      </c>
    </row>
    <row r="11" spans="1:32" x14ac:dyDescent="0.25">
      <c r="A11" s="268"/>
      <c r="B11" s="196" t="s">
        <v>17</v>
      </c>
      <c r="C11" s="197">
        <v>178</v>
      </c>
      <c r="D11" s="197">
        <v>477</v>
      </c>
      <c r="E11" s="197">
        <v>586</v>
      </c>
      <c r="F11" s="197">
        <v>690</v>
      </c>
      <c r="G11" s="197">
        <v>915</v>
      </c>
      <c r="H11" s="197">
        <v>1209</v>
      </c>
      <c r="I11" s="197">
        <v>1445</v>
      </c>
      <c r="J11" s="197">
        <v>1776</v>
      </c>
      <c r="K11" s="197">
        <v>2069</v>
      </c>
      <c r="L11" s="197">
        <v>2335</v>
      </c>
      <c r="M11" s="197">
        <v>2992</v>
      </c>
      <c r="N11" s="197">
        <v>3746</v>
      </c>
      <c r="O11" s="197">
        <v>4213</v>
      </c>
      <c r="P11" s="197">
        <v>5911</v>
      </c>
      <c r="Q11" s="197">
        <v>8232</v>
      </c>
      <c r="R11" s="197">
        <v>11701</v>
      </c>
      <c r="S11" s="197">
        <v>16323.2</v>
      </c>
      <c r="T11" s="197">
        <v>21783.35</v>
      </c>
      <c r="U11" s="197">
        <v>29823.35</v>
      </c>
      <c r="V11" s="197">
        <v>36625.35</v>
      </c>
      <c r="W11" s="197">
        <v>43566.35</v>
      </c>
      <c r="X11" s="197">
        <v>52056.35</v>
      </c>
      <c r="Y11" s="197">
        <v>64926.35</v>
      </c>
      <c r="Z11" s="197">
        <v>80175.350000000006</v>
      </c>
      <c r="AA11" s="197">
        <v>113792</v>
      </c>
      <c r="AB11" s="197">
        <v>142318</v>
      </c>
      <c r="AC11" s="197">
        <v>190398</v>
      </c>
      <c r="AD11" s="197">
        <v>254870</v>
      </c>
      <c r="AE11" s="197">
        <v>280005</v>
      </c>
      <c r="AF11" s="198">
        <v>313144</v>
      </c>
    </row>
    <row r="12" spans="1:32" x14ac:dyDescent="0.25">
      <c r="A12" s="268" t="s">
        <v>18</v>
      </c>
      <c r="B12" s="194" t="s">
        <v>19</v>
      </c>
      <c r="C12" s="188">
        <v>0</v>
      </c>
      <c r="D12" s="188">
        <v>4156</v>
      </c>
      <c r="E12" s="188">
        <v>5351</v>
      </c>
      <c r="F12" s="188">
        <v>6770</v>
      </c>
      <c r="G12" s="188">
        <v>8308</v>
      </c>
      <c r="H12" s="188">
        <v>9667</v>
      </c>
      <c r="I12" s="188">
        <v>11342</v>
      </c>
      <c r="J12" s="188">
        <v>15868</v>
      </c>
      <c r="K12" s="188">
        <v>18370</v>
      </c>
      <c r="L12" s="188">
        <v>20668</v>
      </c>
      <c r="M12" s="188">
        <v>27083</v>
      </c>
      <c r="N12" s="188">
        <v>34948</v>
      </c>
      <c r="O12" s="188">
        <v>41234</v>
      </c>
      <c r="P12" s="188">
        <v>60898</v>
      </c>
      <c r="Q12" s="188">
        <v>84330</v>
      </c>
      <c r="R12" s="188">
        <v>106010</v>
      </c>
      <c r="S12" s="188">
        <v>146484</v>
      </c>
      <c r="T12" s="188">
        <v>177654</v>
      </c>
      <c r="U12" s="188">
        <v>228862</v>
      </c>
      <c r="V12" s="188">
        <v>269932</v>
      </c>
      <c r="W12" s="188">
        <v>310752.90000000002</v>
      </c>
      <c r="X12" s="188">
        <v>361417.9</v>
      </c>
      <c r="Y12" s="188">
        <v>430288.10000000003</v>
      </c>
      <c r="Z12" s="188">
        <v>508702</v>
      </c>
      <c r="AA12" s="188">
        <v>655372</v>
      </c>
      <c r="AB12" s="188">
        <v>784693</v>
      </c>
      <c r="AC12" s="188">
        <v>1342680</v>
      </c>
      <c r="AD12" s="188">
        <v>1985063</v>
      </c>
      <c r="AE12" s="188">
        <v>2272219</v>
      </c>
      <c r="AF12" s="189">
        <v>2733738</v>
      </c>
    </row>
    <row r="13" spans="1:32" x14ac:dyDescent="0.25">
      <c r="A13" s="268"/>
      <c r="B13" s="195" t="s">
        <v>20</v>
      </c>
      <c r="C13" s="188">
        <v>12050</v>
      </c>
      <c r="D13" s="188">
        <v>31040</v>
      </c>
      <c r="E13" s="188">
        <v>35792</v>
      </c>
      <c r="F13" s="188">
        <v>39994</v>
      </c>
      <c r="G13" s="188">
        <v>45192</v>
      </c>
      <c r="H13" s="188">
        <v>51294</v>
      </c>
      <c r="I13" s="188">
        <v>55818</v>
      </c>
      <c r="J13" s="188">
        <v>64410</v>
      </c>
      <c r="K13" s="188">
        <v>69444</v>
      </c>
      <c r="L13" s="188">
        <v>74301</v>
      </c>
      <c r="M13" s="188">
        <v>89234</v>
      </c>
      <c r="N13" s="188">
        <v>95127</v>
      </c>
      <c r="O13" s="188">
        <v>104513</v>
      </c>
      <c r="P13" s="188">
        <v>138851</v>
      </c>
      <c r="Q13" s="188">
        <v>178964</v>
      </c>
      <c r="R13" s="188">
        <v>241323</v>
      </c>
      <c r="S13" s="188">
        <v>305514</v>
      </c>
      <c r="T13" s="188">
        <v>379082</v>
      </c>
      <c r="U13" s="188">
        <v>485688</v>
      </c>
      <c r="V13" s="188">
        <v>581592</v>
      </c>
      <c r="W13" s="188">
        <v>669609</v>
      </c>
      <c r="X13" s="188">
        <v>757198</v>
      </c>
      <c r="Y13" s="188">
        <v>900998</v>
      </c>
      <c r="Z13" s="188">
        <v>1066958</v>
      </c>
      <c r="AA13" s="188">
        <v>1429124</v>
      </c>
      <c r="AB13" s="188">
        <v>1695879</v>
      </c>
      <c r="AC13" s="188">
        <v>1961139</v>
      </c>
      <c r="AD13" s="188">
        <v>2414693</v>
      </c>
      <c r="AE13" s="188">
        <v>2471344</v>
      </c>
      <c r="AF13" s="189">
        <v>2608961</v>
      </c>
    </row>
    <row r="14" spans="1:32" x14ac:dyDescent="0.25">
      <c r="A14" s="268"/>
      <c r="B14" s="196" t="s">
        <v>17</v>
      </c>
      <c r="C14" s="197">
        <v>12050</v>
      </c>
      <c r="D14" s="197">
        <v>35196</v>
      </c>
      <c r="E14" s="197">
        <v>41143</v>
      </c>
      <c r="F14" s="197">
        <v>46764</v>
      </c>
      <c r="G14" s="197">
        <v>53500</v>
      </c>
      <c r="H14" s="197">
        <v>60961</v>
      </c>
      <c r="I14" s="197">
        <v>67160</v>
      </c>
      <c r="J14" s="197">
        <v>80278</v>
      </c>
      <c r="K14" s="197">
        <v>87814</v>
      </c>
      <c r="L14" s="197">
        <v>94969</v>
      </c>
      <c r="M14" s="197">
        <v>116317</v>
      </c>
      <c r="N14" s="197">
        <v>130075</v>
      </c>
      <c r="O14" s="197">
        <v>145747</v>
      </c>
      <c r="P14" s="197">
        <v>199749</v>
      </c>
      <c r="Q14" s="197">
        <v>263294</v>
      </c>
      <c r="R14" s="197">
        <v>347333</v>
      </c>
      <c r="S14" s="197">
        <v>451998</v>
      </c>
      <c r="T14" s="197">
        <v>556736</v>
      </c>
      <c r="U14" s="197">
        <v>714550</v>
      </c>
      <c r="V14" s="197">
        <v>851524</v>
      </c>
      <c r="W14" s="197">
        <v>980361.9</v>
      </c>
      <c r="X14" s="197">
        <v>1118615.8999999999</v>
      </c>
      <c r="Y14" s="197">
        <v>1331286.0999999999</v>
      </c>
      <c r="Z14" s="197">
        <v>1575659.9999999998</v>
      </c>
      <c r="AA14" s="197">
        <v>2084496</v>
      </c>
      <c r="AB14" s="197">
        <v>2480572</v>
      </c>
      <c r="AC14" s="197">
        <v>3303819</v>
      </c>
      <c r="AD14" s="197">
        <v>4399756</v>
      </c>
      <c r="AE14" s="197">
        <v>4743563</v>
      </c>
      <c r="AF14" s="198">
        <v>5342699</v>
      </c>
    </row>
    <row r="15" spans="1:32" x14ac:dyDescent="0.25">
      <c r="A15" s="269" t="s">
        <v>288</v>
      </c>
      <c r="B15" s="199" t="s">
        <v>19</v>
      </c>
      <c r="C15" s="200">
        <v>0</v>
      </c>
      <c r="D15" s="188">
        <v>0.52</v>
      </c>
      <c r="E15" s="188">
        <v>1.38</v>
      </c>
      <c r="F15" s="188">
        <v>2.12</v>
      </c>
      <c r="G15" s="188">
        <v>3.3511660000000001</v>
      </c>
      <c r="H15" s="188">
        <v>4.82</v>
      </c>
      <c r="I15" s="188">
        <v>7.6400000000000006</v>
      </c>
      <c r="J15" s="188">
        <v>10.405999999999999</v>
      </c>
      <c r="K15" s="188">
        <v>13.660999999999998</v>
      </c>
      <c r="L15" s="188">
        <v>17.787599999999998</v>
      </c>
      <c r="M15" s="188">
        <v>23.410838999999996</v>
      </c>
      <c r="N15" s="188">
        <v>33.897176999999999</v>
      </c>
      <c r="O15" s="188">
        <v>50.122177000000001</v>
      </c>
      <c r="P15" s="188">
        <v>67.844358999999997</v>
      </c>
      <c r="Q15" s="188">
        <v>86.601716999999994</v>
      </c>
      <c r="R15" s="188">
        <v>113.09934699999999</v>
      </c>
      <c r="S15" s="188">
        <v>131.40386000000001</v>
      </c>
      <c r="T15" s="188">
        <v>152.436712</v>
      </c>
      <c r="U15" s="188">
        <v>187.15009699999999</v>
      </c>
      <c r="V15" s="188">
        <v>214.49246599999998</v>
      </c>
      <c r="W15" s="188">
        <v>232.68807499999997</v>
      </c>
      <c r="X15" s="188">
        <v>255.77047199999998</v>
      </c>
      <c r="Y15" s="188">
        <v>286.66726699999998</v>
      </c>
      <c r="Z15" s="188">
        <v>326.90143399999999</v>
      </c>
      <c r="AA15" s="188">
        <v>405.65</v>
      </c>
      <c r="AB15" s="188">
        <v>438.99700000000001</v>
      </c>
      <c r="AC15" s="188">
        <v>474.46</v>
      </c>
      <c r="AD15" s="188">
        <v>524.33000000000004</v>
      </c>
      <c r="AE15" s="188">
        <v>594</v>
      </c>
      <c r="AF15" s="189">
        <v>748.18999999999994</v>
      </c>
    </row>
    <row r="16" spans="1:32" x14ac:dyDescent="0.25">
      <c r="A16" s="269"/>
      <c r="B16" s="201" t="s">
        <v>20</v>
      </c>
      <c r="C16" s="202">
        <v>0.66274999999999995</v>
      </c>
      <c r="D16" s="188">
        <v>5.87</v>
      </c>
      <c r="E16" s="188">
        <v>10.530000000000001</v>
      </c>
      <c r="F16" s="188">
        <v>17.96</v>
      </c>
      <c r="G16" s="188">
        <v>34.340000000000003</v>
      </c>
      <c r="H16" s="188">
        <v>51.33</v>
      </c>
      <c r="I16" s="188">
        <v>68.41</v>
      </c>
      <c r="J16" s="188">
        <v>86.44</v>
      </c>
      <c r="K16" s="188">
        <v>104.15009999999999</v>
      </c>
      <c r="L16" s="188">
        <v>127.39009999999999</v>
      </c>
      <c r="M16" s="188">
        <v>143.040166</v>
      </c>
      <c r="N16" s="188">
        <v>181.25131299999998</v>
      </c>
      <c r="O16" s="188">
        <v>216.154313</v>
      </c>
      <c r="P16" s="188">
        <v>261.67672499999998</v>
      </c>
      <c r="Q16" s="188">
        <v>310.013937</v>
      </c>
      <c r="R16" s="188">
        <v>365.60872499999999</v>
      </c>
      <c r="S16" s="188">
        <v>427.18954600000001</v>
      </c>
      <c r="T16" s="188">
        <v>488.12429700000001</v>
      </c>
      <c r="U16" s="188">
        <v>554.72024899999997</v>
      </c>
      <c r="V16" s="188">
        <v>628.37888399999997</v>
      </c>
      <c r="W16" s="188">
        <v>672.90471700000001</v>
      </c>
      <c r="X16" s="188">
        <v>825.46499599999993</v>
      </c>
      <c r="Y16" s="188">
        <v>916.99944399999993</v>
      </c>
      <c r="Z16" s="188">
        <v>1058.2791649999999</v>
      </c>
      <c r="AA16" s="188">
        <v>1465.1</v>
      </c>
      <c r="AB16" s="188">
        <v>1601.626</v>
      </c>
      <c r="AC16" s="188">
        <v>1656.2</v>
      </c>
      <c r="AD16" s="188">
        <v>1832.35</v>
      </c>
      <c r="AE16" s="188">
        <v>1786</v>
      </c>
      <c r="AF16" s="189">
        <v>1820.3119999999997</v>
      </c>
    </row>
    <row r="17" spans="1:32" x14ac:dyDescent="0.25">
      <c r="A17" s="269"/>
      <c r="B17" s="196" t="s">
        <v>17</v>
      </c>
      <c r="C17" s="203">
        <v>0.66274999999999995</v>
      </c>
      <c r="D17" s="197">
        <v>6.39</v>
      </c>
      <c r="E17" s="197">
        <v>11.91</v>
      </c>
      <c r="F17" s="197">
        <v>20.079999999999998</v>
      </c>
      <c r="G17" s="197">
        <v>37.691165999999996</v>
      </c>
      <c r="H17" s="197">
        <v>56.149999999999991</v>
      </c>
      <c r="I17" s="197">
        <v>76.049999999999983</v>
      </c>
      <c r="J17" s="197">
        <v>96.845999999999975</v>
      </c>
      <c r="K17" s="197">
        <v>117.81109999999998</v>
      </c>
      <c r="L17" s="197">
        <v>145.17769999999999</v>
      </c>
      <c r="M17" s="197">
        <v>166.45100499999998</v>
      </c>
      <c r="N17" s="197">
        <v>215.14848999999998</v>
      </c>
      <c r="O17" s="197">
        <v>266.27648999999997</v>
      </c>
      <c r="P17" s="197">
        <v>329.52108399999997</v>
      </c>
      <c r="Q17" s="197">
        <v>396.61565399999995</v>
      </c>
      <c r="R17" s="197">
        <v>478.70807199999996</v>
      </c>
      <c r="S17" s="197">
        <v>558.59340599999996</v>
      </c>
      <c r="T17" s="197">
        <v>640.5610089999999</v>
      </c>
      <c r="U17" s="197">
        <v>741.87034599999993</v>
      </c>
      <c r="V17" s="197">
        <v>842.87134999999989</v>
      </c>
      <c r="W17" s="197">
        <v>905.59279199999992</v>
      </c>
      <c r="X17" s="197">
        <v>1081.2354679999999</v>
      </c>
      <c r="Y17" s="197">
        <v>1203.6667109999999</v>
      </c>
      <c r="Z17" s="197">
        <v>1385.1805989999998</v>
      </c>
      <c r="AA17" s="197">
        <v>1870.75</v>
      </c>
      <c r="AB17" s="197">
        <v>2040.623</v>
      </c>
      <c r="AC17" s="197">
        <v>2130.66</v>
      </c>
      <c r="AD17" s="197">
        <v>2356.6799999999998</v>
      </c>
      <c r="AE17" s="197">
        <v>2380</v>
      </c>
      <c r="AF17" s="198">
        <v>2568.5019999999995</v>
      </c>
    </row>
    <row r="18" spans="1:32" x14ac:dyDescent="0.25">
      <c r="A18" s="268" t="s">
        <v>21</v>
      </c>
      <c r="B18" s="194" t="s">
        <v>19</v>
      </c>
      <c r="C18" s="188">
        <v>0</v>
      </c>
      <c r="D18" s="188">
        <v>0</v>
      </c>
      <c r="E18" s="188">
        <v>0</v>
      </c>
      <c r="F18" s="188">
        <v>0</v>
      </c>
      <c r="G18" s="188">
        <v>0</v>
      </c>
      <c r="H18" s="188">
        <v>0</v>
      </c>
      <c r="I18" s="188">
        <v>0</v>
      </c>
      <c r="J18" s="188">
        <v>0</v>
      </c>
      <c r="K18" s="188">
        <v>74</v>
      </c>
      <c r="L18" s="188">
        <v>1318</v>
      </c>
      <c r="M18" s="188">
        <v>1827</v>
      </c>
      <c r="N18" s="188">
        <v>3151</v>
      </c>
      <c r="O18" s="188">
        <v>4148</v>
      </c>
      <c r="P18" s="188">
        <v>7054</v>
      </c>
      <c r="Q18" s="188">
        <v>12433</v>
      </c>
      <c r="R18" s="188">
        <v>18299</v>
      </c>
      <c r="S18" s="188">
        <v>37314</v>
      </c>
      <c r="T18" s="188">
        <v>58049</v>
      </c>
      <c r="U18" s="188">
        <v>78085</v>
      </c>
      <c r="V18" s="188">
        <v>115299</v>
      </c>
      <c r="W18" s="188">
        <v>153450</v>
      </c>
      <c r="X18" s="188">
        <v>186001</v>
      </c>
      <c r="Y18" s="188">
        <v>225465</v>
      </c>
      <c r="Z18" s="188">
        <v>258380</v>
      </c>
      <c r="AA18" s="188">
        <v>336167</v>
      </c>
      <c r="AB18" s="188">
        <v>398314</v>
      </c>
      <c r="AC18" s="188">
        <v>532151</v>
      </c>
      <c r="AD18" s="188">
        <v>1184804</v>
      </c>
      <c r="AE18" s="188">
        <v>1311885</v>
      </c>
      <c r="AF18" s="189">
        <v>1635674</v>
      </c>
    </row>
    <row r="19" spans="1:32" x14ac:dyDescent="0.25">
      <c r="A19" s="268"/>
      <c r="B19" s="195" t="s">
        <v>20</v>
      </c>
      <c r="C19" s="188">
        <v>91</v>
      </c>
      <c r="D19" s="188">
        <v>270</v>
      </c>
      <c r="E19" s="188">
        <v>656</v>
      </c>
      <c r="F19" s="188">
        <v>889</v>
      </c>
      <c r="G19" s="188">
        <v>1293</v>
      </c>
      <c r="H19" s="188">
        <v>2063</v>
      </c>
      <c r="I19" s="188">
        <v>2656</v>
      </c>
      <c r="J19" s="188">
        <v>3830</v>
      </c>
      <c r="K19" s="188">
        <v>5121</v>
      </c>
      <c r="L19" s="188">
        <v>9601</v>
      </c>
      <c r="M19" s="188">
        <v>11806</v>
      </c>
      <c r="N19" s="188">
        <v>18382</v>
      </c>
      <c r="O19" s="188">
        <v>20292</v>
      </c>
      <c r="P19" s="188">
        <v>29950</v>
      </c>
      <c r="Q19" s="188">
        <v>38952</v>
      </c>
      <c r="R19" s="188">
        <v>56004</v>
      </c>
      <c r="S19" s="188">
        <v>100591</v>
      </c>
      <c r="T19" s="188">
        <v>156362</v>
      </c>
      <c r="U19" s="188">
        <v>200200</v>
      </c>
      <c r="V19" s="188">
        <v>253956</v>
      </c>
      <c r="W19" s="188">
        <v>309666</v>
      </c>
      <c r="X19" s="188">
        <v>357100</v>
      </c>
      <c r="Y19" s="188">
        <v>422745</v>
      </c>
      <c r="Z19" s="188">
        <v>486118</v>
      </c>
      <c r="AA19" s="188">
        <v>611277</v>
      </c>
      <c r="AB19" s="188">
        <v>698089</v>
      </c>
      <c r="AC19" s="188">
        <v>788342</v>
      </c>
      <c r="AD19" s="188">
        <v>1306092</v>
      </c>
      <c r="AE19" s="188">
        <v>1347469</v>
      </c>
      <c r="AF19" s="189">
        <v>1517653</v>
      </c>
    </row>
    <row r="20" spans="1:32" x14ac:dyDescent="0.25">
      <c r="A20" s="268"/>
      <c r="B20" s="196" t="s">
        <v>17</v>
      </c>
      <c r="C20" s="197">
        <v>91</v>
      </c>
      <c r="D20" s="197">
        <v>270</v>
      </c>
      <c r="E20" s="197">
        <v>656</v>
      </c>
      <c r="F20" s="197">
        <v>889</v>
      </c>
      <c r="G20" s="197">
        <v>1293</v>
      </c>
      <c r="H20" s="197">
        <v>2063</v>
      </c>
      <c r="I20" s="197">
        <v>2656</v>
      </c>
      <c r="J20" s="197">
        <v>3830</v>
      </c>
      <c r="K20" s="197">
        <v>5195</v>
      </c>
      <c r="L20" s="197">
        <v>10919</v>
      </c>
      <c r="M20" s="197">
        <v>13633</v>
      </c>
      <c r="N20" s="197">
        <v>21533</v>
      </c>
      <c r="O20" s="197">
        <v>24440</v>
      </c>
      <c r="P20" s="197">
        <v>37004</v>
      </c>
      <c r="Q20" s="197">
        <v>51385</v>
      </c>
      <c r="R20" s="197">
        <v>74303</v>
      </c>
      <c r="S20" s="197">
        <v>137905</v>
      </c>
      <c r="T20" s="197">
        <v>214411</v>
      </c>
      <c r="U20" s="197">
        <v>278285</v>
      </c>
      <c r="V20" s="197">
        <v>369255</v>
      </c>
      <c r="W20" s="197">
        <v>463116</v>
      </c>
      <c r="X20" s="197">
        <v>543101</v>
      </c>
      <c r="Y20" s="197">
        <v>648210</v>
      </c>
      <c r="Z20" s="197">
        <v>744498</v>
      </c>
      <c r="AA20" s="197">
        <v>947444</v>
      </c>
      <c r="AB20" s="197">
        <v>1096403</v>
      </c>
      <c r="AC20" s="197">
        <v>1320493</v>
      </c>
      <c r="AD20" s="197">
        <v>2490896</v>
      </c>
      <c r="AE20" s="197">
        <v>2659354</v>
      </c>
      <c r="AF20" s="198">
        <v>3153327</v>
      </c>
    </row>
    <row r="21" spans="1:32" x14ac:dyDescent="0.25">
      <c r="A21" s="273" t="s">
        <v>223</v>
      </c>
      <c r="B21" s="204" t="s">
        <v>289</v>
      </c>
      <c r="C21" s="205">
        <v>0</v>
      </c>
      <c r="D21" s="205">
        <v>0</v>
      </c>
      <c r="E21" s="205">
        <v>0</v>
      </c>
      <c r="F21" s="205">
        <v>0</v>
      </c>
      <c r="G21" s="205">
        <v>0</v>
      </c>
      <c r="H21" s="205">
        <v>0</v>
      </c>
      <c r="I21" s="205">
        <v>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0</v>
      </c>
      <c r="AB21" s="205">
        <v>0</v>
      </c>
      <c r="AC21" s="205">
        <v>0</v>
      </c>
      <c r="AD21" s="205">
        <v>0</v>
      </c>
      <c r="AE21" s="205">
        <v>179</v>
      </c>
      <c r="AF21" s="189">
        <v>236</v>
      </c>
    </row>
    <row r="22" spans="1:32" x14ac:dyDescent="0.25">
      <c r="A22" s="274"/>
      <c r="B22" s="195" t="s">
        <v>221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  <c r="AB22" s="205">
        <v>0</v>
      </c>
      <c r="AC22" s="205">
        <v>0</v>
      </c>
      <c r="AD22" s="205">
        <v>0</v>
      </c>
      <c r="AE22" s="205">
        <v>3594</v>
      </c>
      <c r="AF22" s="189">
        <v>5167</v>
      </c>
    </row>
    <row r="23" spans="1:32" x14ac:dyDescent="0.25">
      <c r="A23" s="274"/>
      <c r="B23" s="195" t="s">
        <v>222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  <c r="AB23" s="205">
        <v>0</v>
      </c>
      <c r="AC23" s="205">
        <v>0</v>
      </c>
      <c r="AD23" s="205">
        <v>0</v>
      </c>
      <c r="AE23" s="205">
        <v>110069</v>
      </c>
      <c r="AF23" s="189">
        <v>152829</v>
      </c>
    </row>
    <row r="24" spans="1:32" ht="29.25" x14ac:dyDescent="0.25">
      <c r="A24" s="275"/>
      <c r="B24" s="195" t="s">
        <v>290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1106</v>
      </c>
      <c r="AF24" s="206">
        <v>1652.9050830000001</v>
      </c>
    </row>
    <row r="25" spans="1:32" x14ac:dyDescent="0.25">
      <c r="A25" s="269" t="s">
        <v>22</v>
      </c>
      <c r="B25" s="199" t="s">
        <v>19</v>
      </c>
      <c r="C25" s="202">
        <v>0</v>
      </c>
      <c r="D25" s="188">
        <v>0</v>
      </c>
      <c r="E25" s="188">
        <v>0</v>
      </c>
      <c r="F25" s="188">
        <v>0</v>
      </c>
      <c r="G25" s="188">
        <v>0.72933599999999998</v>
      </c>
      <c r="H25" s="188">
        <v>2.6786989999999999</v>
      </c>
      <c r="I25" s="188">
        <v>3.9</v>
      </c>
      <c r="J25" s="188">
        <v>6.08</v>
      </c>
      <c r="K25" s="188">
        <v>8.0981000000000005</v>
      </c>
      <c r="L25" s="188">
        <v>11.086100000000002</v>
      </c>
      <c r="M25" s="188">
        <v>16.658100000000001</v>
      </c>
      <c r="N25" s="188">
        <v>27.8354</v>
      </c>
      <c r="O25" s="188">
        <v>51.955740000000006</v>
      </c>
      <c r="P25" s="188">
        <v>89.685465000000008</v>
      </c>
      <c r="Q25" s="188">
        <v>171.398079</v>
      </c>
      <c r="R25" s="188">
        <v>257.79349400000001</v>
      </c>
      <c r="S25" s="188">
        <v>393.65334400000006</v>
      </c>
      <c r="T25" s="188">
        <v>593.8265100000001</v>
      </c>
      <c r="U25" s="188">
        <v>837.80627000000004</v>
      </c>
      <c r="V25" s="188">
        <v>1129.6137100000001</v>
      </c>
      <c r="W25" s="188">
        <v>1564.6495610000002</v>
      </c>
      <c r="X25" s="188">
        <v>2141.8754820000004</v>
      </c>
      <c r="Y25" s="188">
        <v>2963.9566730000006</v>
      </c>
      <c r="Z25" s="188">
        <v>4199.2255530000002</v>
      </c>
      <c r="AA25" s="188">
        <v>8062.3</v>
      </c>
      <c r="AB25" s="188">
        <v>12289.19</v>
      </c>
      <c r="AC25" s="188">
        <v>16292.39</v>
      </c>
      <c r="AD25" s="188">
        <v>18466.13</v>
      </c>
      <c r="AE25" s="188">
        <v>26846</v>
      </c>
      <c r="AF25" s="189">
        <v>34781.01571</v>
      </c>
    </row>
    <row r="26" spans="1:32" x14ac:dyDescent="0.25">
      <c r="A26" s="269"/>
      <c r="B26" s="201" t="s">
        <v>20</v>
      </c>
      <c r="C26" s="202">
        <v>0.71</v>
      </c>
      <c r="D26" s="188">
        <v>3.52</v>
      </c>
      <c r="E26" s="188">
        <v>8.57</v>
      </c>
      <c r="F26" s="188">
        <v>24.75</v>
      </c>
      <c r="G26" s="188">
        <v>50.017663999999996</v>
      </c>
      <c r="H26" s="188">
        <v>82.621300999999988</v>
      </c>
      <c r="I26" s="188">
        <v>111.5</v>
      </c>
      <c r="J26" s="188">
        <v>123.37</v>
      </c>
      <c r="K26" s="188">
        <v>132.99956500000002</v>
      </c>
      <c r="L26" s="188">
        <v>144.87455300000002</v>
      </c>
      <c r="M26" s="188">
        <v>153.21655300000003</v>
      </c>
      <c r="N26" s="188">
        <v>328.99442700000003</v>
      </c>
      <c r="O26" s="188">
        <v>441.10692700000004</v>
      </c>
      <c r="P26" s="188">
        <v>619.586547</v>
      </c>
      <c r="Q26" s="188">
        <v>941.10618299999999</v>
      </c>
      <c r="R26" s="188">
        <v>1624.0987719999998</v>
      </c>
      <c r="S26" s="188">
        <v>2801.8091079999999</v>
      </c>
      <c r="T26" s="188">
        <v>3773.813615</v>
      </c>
      <c r="U26" s="188">
        <v>4692.3594059999996</v>
      </c>
      <c r="V26" s="188">
        <v>5493.9082699999999</v>
      </c>
      <c r="W26" s="188">
        <v>6546.9565199999997</v>
      </c>
      <c r="X26" s="188">
        <v>8081.4465309999996</v>
      </c>
      <c r="Y26" s="188">
        <v>9857.6422309999998</v>
      </c>
      <c r="Z26" s="188">
        <v>12699.101413</v>
      </c>
      <c r="AA26" s="188">
        <v>19795.93</v>
      </c>
      <c r="AB26" s="188">
        <v>28557.16</v>
      </c>
      <c r="AC26" s="188">
        <v>35616.32</v>
      </c>
      <c r="AD26" s="188">
        <v>43669.73</v>
      </c>
      <c r="AE26" s="188">
        <v>46277</v>
      </c>
      <c r="AF26" s="189">
        <v>50357.762002000003</v>
      </c>
    </row>
    <row r="27" spans="1:32" x14ac:dyDescent="0.25">
      <c r="A27" s="269"/>
      <c r="B27" s="196" t="s">
        <v>17</v>
      </c>
      <c r="C27" s="203">
        <v>0.71</v>
      </c>
      <c r="D27" s="197">
        <v>3.52</v>
      </c>
      <c r="E27" s="197">
        <v>8.57</v>
      </c>
      <c r="F27" s="197">
        <v>24.75</v>
      </c>
      <c r="G27" s="197">
        <v>50.747</v>
      </c>
      <c r="H27" s="197">
        <v>85.3</v>
      </c>
      <c r="I27" s="197">
        <v>115.4</v>
      </c>
      <c r="J27" s="197">
        <v>129.45000000000002</v>
      </c>
      <c r="K27" s="197">
        <v>141.09766500000001</v>
      </c>
      <c r="L27" s="197">
        <v>155.96065300000001</v>
      </c>
      <c r="M27" s="197">
        <v>169.87465300000002</v>
      </c>
      <c r="N27" s="197">
        <v>356.82982700000002</v>
      </c>
      <c r="O27" s="197">
        <v>493.06266700000003</v>
      </c>
      <c r="P27" s="197">
        <v>709.27201200000002</v>
      </c>
      <c r="Q27" s="197">
        <v>1112.5042619999999</v>
      </c>
      <c r="R27" s="197">
        <v>1881.8922659999998</v>
      </c>
      <c r="S27" s="197">
        <v>3195.4624519999998</v>
      </c>
      <c r="T27" s="197">
        <v>4367.6401249999999</v>
      </c>
      <c r="U27" s="197">
        <v>5530.1656759999996</v>
      </c>
      <c r="V27" s="197">
        <v>6623.5219799999995</v>
      </c>
      <c r="W27" s="197">
        <v>8111.6060809999999</v>
      </c>
      <c r="X27" s="197">
        <v>10223.322013000001</v>
      </c>
      <c r="Y27" s="197">
        <v>12821.598904</v>
      </c>
      <c r="Z27" s="197">
        <v>16898.326966000001</v>
      </c>
      <c r="AA27" s="197">
        <v>27858.23</v>
      </c>
      <c r="AB27" s="197">
        <v>40846.35</v>
      </c>
      <c r="AC27" s="197">
        <v>51908.72</v>
      </c>
      <c r="AD27" s="197">
        <v>62135.86</v>
      </c>
      <c r="AE27" s="197">
        <v>73123</v>
      </c>
      <c r="AF27" s="198">
        <v>85138.77771200001</v>
      </c>
    </row>
    <row r="28" spans="1:32" x14ac:dyDescent="0.25">
      <c r="A28" s="269" t="s">
        <v>291</v>
      </c>
      <c r="B28" s="201" t="s">
        <v>292</v>
      </c>
      <c r="C28" s="207">
        <v>0</v>
      </c>
      <c r="D28" s="205">
        <v>0</v>
      </c>
      <c r="E28" s="205">
        <v>0</v>
      </c>
      <c r="F28" s="205">
        <v>0</v>
      </c>
      <c r="G28" s="205">
        <v>0</v>
      </c>
      <c r="H28" s="205">
        <v>0</v>
      </c>
      <c r="I28" s="205">
        <v>0</v>
      </c>
      <c r="J28" s="205">
        <v>0</v>
      </c>
      <c r="K28" s="205">
        <v>0</v>
      </c>
      <c r="L28" s="205">
        <v>0</v>
      </c>
      <c r="M28" s="205">
        <v>0</v>
      </c>
      <c r="N28" s="205">
        <v>0</v>
      </c>
      <c r="O28" s="205">
        <v>0</v>
      </c>
      <c r="P28" s="205">
        <v>0</v>
      </c>
      <c r="Q28" s="205">
        <v>0</v>
      </c>
      <c r="R28" s="205">
        <v>0</v>
      </c>
      <c r="S28" s="205">
        <v>0</v>
      </c>
      <c r="T28" s="205">
        <v>0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764432</v>
      </c>
      <c r="AB28" s="205">
        <v>1058568</v>
      </c>
      <c r="AC28" s="205">
        <v>1349181</v>
      </c>
      <c r="AD28" s="205">
        <v>1680779.44</v>
      </c>
      <c r="AE28" s="205">
        <v>2068408</v>
      </c>
      <c r="AF28" s="189">
        <v>2520327.44</v>
      </c>
    </row>
    <row r="29" spans="1:32" x14ac:dyDescent="0.25">
      <c r="A29" s="269"/>
      <c r="B29" s="201" t="s">
        <v>293</v>
      </c>
      <c r="C29" s="207">
        <v>0</v>
      </c>
      <c r="D29" s="205">
        <v>0</v>
      </c>
      <c r="E29" s="205"/>
      <c r="F29" s="205">
        <v>0</v>
      </c>
      <c r="G29" s="205">
        <v>0</v>
      </c>
      <c r="H29" s="205">
        <v>0</v>
      </c>
      <c r="I29" s="205">
        <v>0</v>
      </c>
      <c r="J29" s="205">
        <v>0</v>
      </c>
      <c r="K29" s="205">
        <v>0</v>
      </c>
      <c r="L29" s="205">
        <v>0</v>
      </c>
      <c r="M29" s="205">
        <v>0</v>
      </c>
      <c r="N29" s="205">
        <v>0</v>
      </c>
      <c r="O29" s="205">
        <v>0</v>
      </c>
      <c r="P29" s="205">
        <v>0</v>
      </c>
      <c r="Q29" s="205">
        <v>0</v>
      </c>
      <c r="R29" s="205">
        <v>0</v>
      </c>
      <c r="S29" s="205">
        <v>0</v>
      </c>
      <c r="T29" s="205">
        <v>0</v>
      </c>
      <c r="U29" s="205">
        <v>0</v>
      </c>
      <c r="V29" s="205">
        <v>0</v>
      </c>
      <c r="W29" s="205">
        <v>0</v>
      </c>
      <c r="X29" s="205">
        <v>0</v>
      </c>
      <c r="Y29" s="205">
        <v>0</v>
      </c>
      <c r="Z29" s="205">
        <v>0</v>
      </c>
      <c r="AA29" s="205">
        <v>1930568</v>
      </c>
      <c r="AB29" s="205">
        <v>2457015</v>
      </c>
      <c r="AC29" s="205">
        <v>2894800</v>
      </c>
      <c r="AD29" s="205">
        <v>3374000.56</v>
      </c>
      <c r="AE29" s="205">
        <v>3403007</v>
      </c>
      <c r="AF29" s="189">
        <v>3593574.56</v>
      </c>
    </row>
    <row r="30" spans="1:32" x14ac:dyDescent="0.25">
      <c r="A30" s="269"/>
      <c r="B30" s="196" t="s">
        <v>17</v>
      </c>
      <c r="C30" s="208">
        <v>0</v>
      </c>
      <c r="D30" s="197">
        <v>0</v>
      </c>
      <c r="E30" s="197">
        <v>0</v>
      </c>
      <c r="F30" s="197">
        <v>0</v>
      </c>
      <c r="G30" s="197">
        <v>0</v>
      </c>
      <c r="H30" s="197">
        <v>0</v>
      </c>
      <c r="I30" s="197">
        <v>0</v>
      </c>
      <c r="J30" s="197">
        <v>0</v>
      </c>
      <c r="K30" s="197">
        <v>0</v>
      </c>
      <c r="L30" s="197">
        <v>0</v>
      </c>
      <c r="M30" s="197">
        <v>0</v>
      </c>
      <c r="N30" s="197">
        <v>0</v>
      </c>
      <c r="O30" s="197">
        <v>0</v>
      </c>
      <c r="P30" s="197">
        <v>0</v>
      </c>
      <c r="Q30" s="197">
        <v>0</v>
      </c>
      <c r="R30" s="197">
        <v>0</v>
      </c>
      <c r="S30" s="197">
        <v>0</v>
      </c>
      <c r="T30" s="197">
        <v>0</v>
      </c>
      <c r="U30" s="197">
        <v>0</v>
      </c>
      <c r="V30" s="197">
        <v>0</v>
      </c>
      <c r="W30" s="197">
        <v>0</v>
      </c>
      <c r="X30" s="197">
        <v>0</v>
      </c>
      <c r="Y30" s="197">
        <v>0</v>
      </c>
      <c r="Z30" s="197">
        <v>0</v>
      </c>
      <c r="AA30" s="197">
        <v>2695000</v>
      </c>
      <c r="AB30" s="197">
        <v>3515583</v>
      </c>
      <c r="AC30" s="209" t="s">
        <v>294</v>
      </c>
      <c r="AD30" s="197">
        <v>4954780</v>
      </c>
      <c r="AE30" s="197">
        <v>5471415</v>
      </c>
      <c r="AF30" s="198">
        <v>6113902</v>
      </c>
    </row>
    <row r="31" spans="1:32" x14ac:dyDescent="0.25">
      <c r="A31" s="268" t="s">
        <v>295</v>
      </c>
      <c r="B31" s="194" t="s">
        <v>19</v>
      </c>
      <c r="C31" s="188">
        <v>0</v>
      </c>
      <c r="D31" s="188">
        <v>0</v>
      </c>
      <c r="E31" s="188">
        <v>0</v>
      </c>
      <c r="F31" s="188">
        <v>0</v>
      </c>
      <c r="G31" s="188">
        <v>0</v>
      </c>
      <c r="H31" s="188">
        <v>0</v>
      </c>
      <c r="I31" s="188">
        <v>0</v>
      </c>
      <c r="J31" s="188">
        <v>0</v>
      </c>
      <c r="K31" s="188">
        <v>0</v>
      </c>
      <c r="L31" s="188">
        <v>0</v>
      </c>
      <c r="M31" s="188">
        <v>0</v>
      </c>
      <c r="N31" s="188">
        <v>0</v>
      </c>
      <c r="O31" s="188">
        <v>0</v>
      </c>
      <c r="P31" s="188">
        <v>0</v>
      </c>
      <c r="Q31" s="188">
        <v>0</v>
      </c>
      <c r="R31" s="188">
        <v>0</v>
      </c>
      <c r="S31" s="188">
        <v>0</v>
      </c>
      <c r="T31" s="188">
        <v>0</v>
      </c>
      <c r="U31" s="188">
        <v>0</v>
      </c>
      <c r="V31" s="188">
        <v>0</v>
      </c>
      <c r="W31" s="188">
        <v>0</v>
      </c>
      <c r="X31" s="188">
        <v>0</v>
      </c>
      <c r="Y31" s="188">
        <v>0</v>
      </c>
      <c r="Z31" s="188">
        <v>42078</v>
      </c>
      <c r="AA31" s="188">
        <v>121835</v>
      </c>
      <c r="AB31" s="188">
        <v>326617</v>
      </c>
      <c r="AC31" s="188">
        <v>1057470</v>
      </c>
      <c r="AD31" s="188">
        <v>1592331</v>
      </c>
      <c r="AE31" s="188">
        <v>2068408</v>
      </c>
      <c r="AF31" s="189">
        <v>971319.44</v>
      </c>
    </row>
    <row r="32" spans="1:32" x14ac:dyDescent="0.25">
      <c r="A32" s="268"/>
      <c r="B32" s="195" t="s">
        <v>20</v>
      </c>
      <c r="C32" s="188">
        <v>0</v>
      </c>
      <c r="D32" s="188">
        <v>0</v>
      </c>
      <c r="E32" s="188">
        <v>0</v>
      </c>
      <c r="F32" s="188">
        <v>0</v>
      </c>
      <c r="G32" s="188">
        <v>0</v>
      </c>
      <c r="H32" s="188">
        <v>0</v>
      </c>
      <c r="I32" s="188">
        <v>0</v>
      </c>
      <c r="J32" s="188">
        <v>0</v>
      </c>
      <c r="K32" s="188">
        <v>0</v>
      </c>
      <c r="L32" s="188">
        <v>0</v>
      </c>
      <c r="M32" s="188">
        <v>0</v>
      </c>
      <c r="N32" s="188">
        <v>0</v>
      </c>
      <c r="O32" s="188">
        <v>0</v>
      </c>
      <c r="P32" s="188">
        <v>0</v>
      </c>
      <c r="Q32" s="188">
        <v>0</v>
      </c>
      <c r="R32" s="188">
        <v>0</v>
      </c>
      <c r="S32" s="188">
        <v>0</v>
      </c>
      <c r="T32" s="188">
        <v>0</v>
      </c>
      <c r="U32" s="188">
        <v>0</v>
      </c>
      <c r="V32" s="188">
        <v>0</v>
      </c>
      <c r="W32" s="188">
        <v>0</v>
      </c>
      <c r="X32" s="188">
        <v>0</v>
      </c>
      <c r="Y32" s="188">
        <v>0</v>
      </c>
      <c r="Z32" s="188">
        <v>121409</v>
      </c>
      <c r="AA32" s="188">
        <v>344939</v>
      </c>
      <c r="AB32" s="188">
        <v>1016890</v>
      </c>
      <c r="AC32" s="188">
        <v>1629375</v>
      </c>
      <c r="AD32" s="188">
        <v>2450815</v>
      </c>
      <c r="AE32" s="188">
        <v>3403007</v>
      </c>
      <c r="AF32" s="189">
        <v>2529821.56</v>
      </c>
    </row>
    <row r="33" spans="1:32" x14ac:dyDescent="0.25">
      <c r="A33" s="268"/>
      <c r="B33" s="196" t="s">
        <v>17</v>
      </c>
      <c r="C33" s="197">
        <v>0</v>
      </c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7">
        <v>0</v>
      </c>
      <c r="Q33" s="197">
        <v>0</v>
      </c>
      <c r="R33" s="197">
        <v>0</v>
      </c>
      <c r="S33" s="197">
        <v>0</v>
      </c>
      <c r="T33" s="197">
        <v>0</v>
      </c>
      <c r="U33" s="197">
        <v>0</v>
      </c>
      <c r="V33" s="197">
        <v>0</v>
      </c>
      <c r="W33" s="197">
        <v>0</v>
      </c>
      <c r="X33" s="197">
        <v>0</v>
      </c>
      <c r="Y33" s="197">
        <v>0</v>
      </c>
      <c r="Z33" s="197">
        <v>163487</v>
      </c>
      <c r="AA33" s="197">
        <v>466774</v>
      </c>
      <c r="AB33" s="197">
        <v>1343507</v>
      </c>
      <c r="AC33" s="197">
        <v>2686845</v>
      </c>
      <c r="AD33" s="197">
        <v>4043146</v>
      </c>
      <c r="AE33" s="197">
        <v>5471415</v>
      </c>
      <c r="AF33" s="198">
        <v>3501141</v>
      </c>
    </row>
    <row r="34" spans="1:32" x14ac:dyDescent="0.25">
      <c r="A34" s="270" t="s">
        <v>296</v>
      </c>
      <c r="B34" s="270"/>
      <c r="C34" s="210">
        <v>80</v>
      </c>
      <c r="D34" s="188">
        <v>229</v>
      </c>
      <c r="E34" s="188">
        <v>328</v>
      </c>
      <c r="F34" s="188">
        <v>421</v>
      </c>
      <c r="G34" s="188">
        <v>585</v>
      </c>
      <c r="H34" s="188">
        <v>770</v>
      </c>
      <c r="I34" s="188">
        <v>912</v>
      </c>
      <c r="J34" s="188">
        <v>1077</v>
      </c>
      <c r="K34" s="188">
        <v>1244</v>
      </c>
      <c r="L34" s="188">
        <v>1387</v>
      </c>
      <c r="M34" s="188">
        <v>1499</v>
      </c>
      <c r="N34" s="188">
        <v>1623</v>
      </c>
      <c r="O34" s="188">
        <v>1830</v>
      </c>
      <c r="P34" s="188">
        <v>2376</v>
      </c>
      <c r="Q34" s="188">
        <v>2882</v>
      </c>
      <c r="R34" s="188">
        <v>3612</v>
      </c>
      <c r="S34" s="188">
        <v>6078</v>
      </c>
      <c r="T34" s="188">
        <v>9630</v>
      </c>
      <c r="U34" s="188">
        <v>11998</v>
      </c>
      <c r="V34" s="188">
        <v>18053</v>
      </c>
      <c r="W34" s="188">
        <v>29325</v>
      </c>
      <c r="X34" s="188">
        <v>43505</v>
      </c>
      <c r="Y34" s="188">
        <v>55524</v>
      </c>
      <c r="Z34" s="188">
        <v>64889</v>
      </c>
      <c r="AA34" s="188">
        <v>74731</v>
      </c>
      <c r="AB34" s="188">
        <v>79726</v>
      </c>
      <c r="AC34" s="188">
        <v>84601</v>
      </c>
      <c r="AD34" s="188">
        <v>92686</v>
      </c>
      <c r="AE34" s="188">
        <v>130829</v>
      </c>
      <c r="AF34" s="189">
        <v>140993</v>
      </c>
    </row>
    <row r="35" spans="1:32" x14ac:dyDescent="0.25">
      <c r="A35" s="270" t="s">
        <v>297</v>
      </c>
      <c r="B35" s="270"/>
      <c r="C35" s="200">
        <v>9300</v>
      </c>
      <c r="D35" s="188">
        <v>22980</v>
      </c>
      <c r="E35" s="188">
        <v>27838</v>
      </c>
      <c r="F35" s="188">
        <v>32566</v>
      </c>
      <c r="G35" s="188">
        <v>41677</v>
      </c>
      <c r="H35" s="188">
        <v>49725</v>
      </c>
      <c r="I35" s="188">
        <v>53760</v>
      </c>
      <c r="J35" s="188">
        <v>63440</v>
      </c>
      <c r="K35" s="188">
        <v>70315</v>
      </c>
      <c r="L35" s="188">
        <v>81782</v>
      </c>
      <c r="M35" s="188">
        <v>88403</v>
      </c>
      <c r="N35" s="188">
        <v>96635</v>
      </c>
      <c r="O35" s="188">
        <v>112501</v>
      </c>
      <c r="P35" s="188">
        <v>163705</v>
      </c>
      <c r="Q35" s="188">
        <v>219039</v>
      </c>
      <c r="R35" s="188">
        <v>303201</v>
      </c>
      <c r="S35" s="188">
        <v>380257</v>
      </c>
      <c r="T35" s="188">
        <v>432105</v>
      </c>
      <c r="U35" s="188">
        <v>529762</v>
      </c>
      <c r="V35" s="188">
        <v>924178</v>
      </c>
      <c r="W35" s="188">
        <v>1094475</v>
      </c>
      <c r="X35" s="188">
        <v>1477441</v>
      </c>
      <c r="Y35" s="188">
        <v>1697088</v>
      </c>
      <c r="Z35" s="188">
        <v>1972833</v>
      </c>
      <c r="AA35" s="188">
        <v>2089861</v>
      </c>
      <c r="AB35" s="188">
        <v>2716561</v>
      </c>
      <c r="AC35" s="188">
        <v>2963639</v>
      </c>
      <c r="AD35" s="188">
        <v>3566645</v>
      </c>
      <c r="AE35" s="188">
        <v>4181600</v>
      </c>
      <c r="AF35" s="189">
        <v>4258376</v>
      </c>
    </row>
    <row r="36" spans="1:32" x14ac:dyDescent="0.25">
      <c r="A36" s="271" t="s">
        <v>298</v>
      </c>
      <c r="B36" s="271"/>
      <c r="C36" s="211">
        <v>9.5</v>
      </c>
      <c r="D36" s="188">
        <v>28.82</v>
      </c>
      <c r="E36" s="188">
        <v>47.5</v>
      </c>
      <c r="F36" s="188">
        <v>65.12</v>
      </c>
      <c r="G36" s="188">
        <v>90.87</v>
      </c>
      <c r="H36" s="188">
        <v>124.28</v>
      </c>
      <c r="I36" s="188">
        <v>151</v>
      </c>
      <c r="J36" s="188">
        <v>189.054</v>
      </c>
      <c r="K36" s="188">
        <v>223.26499999999999</v>
      </c>
      <c r="L36" s="188">
        <v>252.05999999999997</v>
      </c>
      <c r="M36" s="188">
        <v>278.82417199999998</v>
      </c>
      <c r="N36" s="188">
        <v>306.35615199999995</v>
      </c>
      <c r="O36" s="188">
        <v>369.96915199999995</v>
      </c>
      <c r="P36" s="188">
        <v>462.86128099999996</v>
      </c>
      <c r="Q36" s="188">
        <v>610.54608699999994</v>
      </c>
      <c r="R36" s="188">
        <v>822.72373299999992</v>
      </c>
      <c r="S36" s="188">
        <v>1052.7613690000001</v>
      </c>
      <c r="T36" s="188">
        <v>1328.491342</v>
      </c>
      <c r="U36" s="188">
        <v>1636.4943720000001</v>
      </c>
      <c r="V36" s="188">
        <v>2310.2607330000001</v>
      </c>
      <c r="W36" s="188">
        <v>2775.4692789999999</v>
      </c>
      <c r="X36" s="188">
        <v>3825.75</v>
      </c>
      <c r="Y36" s="188">
        <v>4412.9717760000003</v>
      </c>
      <c r="Z36" s="188">
        <v>5698.9876720000002</v>
      </c>
      <c r="AA36" s="188">
        <v>7761.45</v>
      </c>
      <c r="AB36" s="188">
        <v>9194.25</v>
      </c>
      <c r="AC36" s="188">
        <v>10955.06</v>
      </c>
      <c r="AD36" s="188">
        <v>12171.84</v>
      </c>
      <c r="AE36" s="188">
        <v>16365</v>
      </c>
      <c r="AF36" s="189">
        <v>17467.013999999999</v>
      </c>
    </row>
    <row r="37" spans="1:32" x14ac:dyDescent="0.25">
      <c r="A37" s="267" t="s">
        <v>28</v>
      </c>
      <c r="B37" s="267" t="s">
        <v>29</v>
      </c>
      <c r="C37" s="212">
        <v>0</v>
      </c>
      <c r="D37" s="188">
        <v>0</v>
      </c>
      <c r="E37" s="188">
        <v>0</v>
      </c>
      <c r="F37" s="188">
        <v>0</v>
      </c>
      <c r="G37" s="188">
        <v>0</v>
      </c>
      <c r="H37" s="188">
        <v>0</v>
      </c>
      <c r="I37" s="188">
        <v>0</v>
      </c>
      <c r="J37" s="188">
        <v>0</v>
      </c>
      <c r="K37" s="188">
        <v>0</v>
      </c>
      <c r="L37" s="188">
        <v>0</v>
      </c>
      <c r="M37" s="188">
        <v>28</v>
      </c>
      <c r="N37" s="188">
        <v>63</v>
      </c>
      <c r="O37" s="188">
        <v>63</v>
      </c>
      <c r="P37" s="188">
        <v>90</v>
      </c>
      <c r="Q37" s="188">
        <v>151</v>
      </c>
      <c r="R37" s="188">
        <v>248</v>
      </c>
      <c r="S37" s="188">
        <v>280</v>
      </c>
      <c r="T37" s="188">
        <v>358</v>
      </c>
      <c r="U37" s="188">
        <v>368</v>
      </c>
      <c r="V37" s="188">
        <v>375</v>
      </c>
      <c r="W37" s="188">
        <v>387</v>
      </c>
      <c r="X37" s="188">
        <v>616</v>
      </c>
      <c r="Y37" s="188">
        <v>1414</v>
      </c>
      <c r="Z37" s="188">
        <v>1507</v>
      </c>
      <c r="AA37" s="188">
        <v>1674</v>
      </c>
      <c r="AB37" s="188">
        <v>1475</v>
      </c>
      <c r="AC37" s="188">
        <v>1446</v>
      </c>
      <c r="AD37" s="188">
        <v>1902</v>
      </c>
      <c r="AE37" s="188">
        <v>1895</v>
      </c>
      <c r="AF37" s="189">
        <v>2312</v>
      </c>
    </row>
    <row r="38" spans="1:32" x14ac:dyDescent="0.25">
      <c r="A38" s="268" t="s">
        <v>30</v>
      </c>
      <c r="B38" s="194" t="s">
        <v>29</v>
      </c>
      <c r="C38" s="188">
        <v>0</v>
      </c>
      <c r="D38" s="188">
        <v>0</v>
      </c>
      <c r="E38" s="188">
        <v>0</v>
      </c>
      <c r="F38" s="188">
        <v>0</v>
      </c>
      <c r="G38" s="188">
        <v>0</v>
      </c>
      <c r="H38" s="188">
        <v>0</v>
      </c>
      <c r="I38" s="188">
        <v>0</v>
      </c>
      <c r="J38" s="188">
        <v>0</v>
      </c>
      <c r="K38" s="188">
        <v>0</v>
      </c>
      <c r="L38" s="188">
        <v>0</v>
      </c>
      <c r="M38" s="188">
        <v>571</v>
      </c>
      <c r="N38" s="188">
        <v>1114</v>
      </c>
      <c r="O38" s="188">
        <v>1114</v>
      </c>
      <c r="P38" s="188">
        <v>1528</v>
      </c>
      <c r="Q38" s="188">
        <v>2371</v>
      </c>
      <c r="R38" s="188">
        <v>4698</v>
      </c>
      <c r="S38" s="188">
        <v>5433</v>
      </c>
      <c r="T38" s="188">
        <v>7029</v>
      </c>
      <c r="U38" s="188">
        <v>10172</v>
      </c>
      <c r="V38" s="188">
        <v>12667</v>
      </c>
      <c r="W38" s="188">
        <v>15676</v>
      </c>
      <c r="X38" s="188">
        <v>22391</v>
      </c>
      <c r="Y38" s="188">
        <v>30193</v>
      </c>
      <c r="Z38" s="188">
        <v>32322</v>
      </c>
      <c r="AA38" s="188">
        <v>26228</v>
      </c>
      <c r="AB38" s="188">
        <v>27655</v>
      </c>
      <c r="AC38" s="188">
        <v>22516</v>
      </c>
      <c r="AD38" s="188">
        <v>23533</v>
      </c>
      <c r="AE38" s="188">
        <v>23867</v>
      </c>
      <c r="AF38" s="189">
        <v>42218</v>
      </c>
    </row>
    <row r="39" spans="1:32" x14ac:dyDescent="0.25">
      <c r="A39" s="268"/>
      <c r="B39" s="195" t="s">
        <v>31</v>
      </c>
      <c r="C39" s="188">
        <v>0</v>
      </c>
      <c r="D39" s="188">
        <v>0</v>
      </c>
      <c r="E39" s="188">
        <v>0</v>
      </c>
      <c r="F39" s="188">
        <v>0</v>
      </c>
      <c r="G39" s="188">
        <v>0</v>
      </c>
      <c r="H39" s="188">
        <v>0</v>
      </c>
      <c r="I39" s="188">
        <v>0</v>
      </c>
      <c r="J39" s="188">
        <v>0</v>
      </c>
      <c r="K39" s="188">
        <v>0</v>
      </c>
      <c r="L39" s="188">
        <v>0</v>
      </c>
      <c r="M39" s="188">
        <v>277</v>
      </c>
      <c r="N39" s="188">
        <v>729</v>
      </c>
      <c r="O39" s="188">
        <v>729</v>
      </c>
      <c r="P39" s="188">
        <v>883</v>
      </c>
      <c r="Q39" s="188">
        <v>1942</v>
      </c>
      <c r="R39" s="188">
        <v>4309</v>
      </c>
      <c r="S39" s="188">
        <v>4972</v>
      </c>
      <c r="T39" s="188">
        <v>8636</v>
      </c>
      <c r="U39" s="188">
        <v>9094</v>
      </c>
      <c r="V39" s="188">
        <v>10382</v>
      </c>
      <c r="W39" s="188">
        <v>11667</v>
      </c>
      <c r="X39" s="188">
        <v>17327</v>
      </c>
      <c r="Y39" s="188">
        <v>17608</v>
      </c>
      <c r="Z39" s="188">
        <v>17845</v>
      </c>
      <c r="AA39" s="188">
        <v>27630</v>
      </c>
      <c r="AB39" s="188">
        <v>29479</v>
      </c>
      <c r="AC39" s="188">
        <v>26861</v>
      </c>
      <c r="AD39" s="188">
        <v>28547</v>
      </c>
      <c r="AE39" s="188">
        <v>27035</v>
      </c>
      <c r="AF39" s="189">
        <v>46426</v>
      </c>
    </row>
    <row r="40" spans="1:32" x14ac:dyDescent="0.25">
      <c r="A40" s="268"/>
      <c r="B40" s="196" t="s">
        <v>17</v>
      </c>
      <c r="C40" s="197">
        <v>0</v>
      </c>
      <c r="D40" s="197">
        <v>0</v>
      </c>
      <c r="E40" s="197">
        <v>0</v>
      </c>
      <c r="F40" s="197">
        <v>0</v>
      </c>
      <c r="G40" s="197">
        <v>0</v>
      </c>
      <c r="H40" s="197">
        <v>0</v>
      </c>
      <c r="I40" s="197">
        <v>0</v>
      </c>
      <c r="J40" s="197">
        <v>0</v>
      </c>
      <c r="K40" s="197">
        <v>0</v>
      </c>
      <c r="L40" s="197">
        <v>0</v>
      </c>
      <c r="M40" s="197">
        <v>848</v>
      </c>
      <c r="N40" s="197">
        <v>1843</v>
      </c>
      <c r="O40" s="197">
        <v>1843</v>
      </c>
      <c r="P40" s="197">
        <v>2411</v>
      </c>
      <c r="Q40" s="197">
        <v>4313</v>
      </c>
      <c r="R40" s="197">
        <v>9007</v>
      </c>
      <c r="S40" s="197">
        <v>10405</v>
      </c>
      <c r="T40" s="197">
        <v>15665</v>
      </c>
      <c r="U40" s="197">
        <v>19266</v>
      </c>
      <c r="V40" s="197">
        <v>23049</v>
      </c>
      <c r="W40" s="197">
        <v>27343</v>
      </c>
      <c r="X40" s="197">
        <v>39718</v>
      </c>
      <c r="Y40" s="197">
        <v>47801</v>
      </c>
      <c r="Z40" s="197">
        <v>50167</v>
      </c>
      <c r="AA40" s="197">
        <v>53858</v>
      </c>
      <c r="AB40" s="197">
        <v>57134</v>
      </c>
      <c r="AC40" s="197">
        <v>49377</v>
      </c>
      <c r="AD40" s="197">
        <v>52080</v>
      </c>
      <c r="AE40" s="197">
        <v>50902</v>
      </c>
      <c r="AF40" s="198">
        <v>88644</v>
      </c>
    </row>
    <row r="41" spans="1:32" x14ac:dyDescent="0.25">
      <c r="A41" s="268" t="s">
        <v>32</v>
      </c>
      <c r="B41" s="194" t="s">
        <v>19</v>
      </c>
      <c r="C41" s="188">
        <v>0</v>
      </c>
      <c r="D41" s="188">
        <v>0</v>
      </c>
      <c r="E41" s="188">
        <v>0</v>
      </c>
      <c r="F41" s="188">
        <v>0</v>
      </c>
      <c r="G41" s="188">
        <v>0</v>
      </c>
      <c r="H41" s="188">
        <v>0</v>
      </c>
      <c r="I41" s="188">
        <v>0</v>
      </c>
      <c r="J41" s="188">
        <v>0</v>
      </c>
      <c r="K41" s="188">
        <v>0</v>
      </c>
      <c r="L41" s="188">
        <v>0</v>
      </c>
      <c r="M41" s="188">
        <v>0</v>
      </c>
      <c r="N41" s="188">
        <v>37</v>
      </c>
      <c r="O41" s="188">
        <v>37</v>
      </c>
      <c r="P41" s="188">
        <v>45</v>
      </c>
      <c r="Q41" s="188">
        <v>78</v>
      </c>
      <c r="R41" s="188">
        <v>120</v>
      </c>
      <c r="S41" s="188">
        <v>245</v>
      </c>
      <c r="T41" s="188">
        <v>367</v>
      </c>
      <c r="U41" s="188">
        <v>594</v>
      </c>
      <c r="V41" s="188">
        <v>652</v>
      </c>
      <c r="W41" s="188">
        <v>1220</v>
      </c>
      <c r="X41" s="188">
        <v>1666</v>
      </c>
      <c r="Y41" s="188">
        <v>2312</v>
      </c>
      <c r="Z41" s="188">
        <v>2546</v>
      </c>
      <c r="AA41" s="188">
        <v>3658</v>
      </c>
      <c r="AB41" s="188">
        <v>2116</v>
      </c>
      <c r="AC41" s="188">
        <v>19842</v>
      </c>
      <c r="AD41" s="188">
        <v>19842</v>
      </c>
      <c r="AE41" s="188">
        <v>23001</v>
      </c>
      <c r="AF41" s="189">
        <v>22943</v>
      </c>
    </row>
    <row r="42" spans="1:32" x14ac:dyDescent="0.25">
      <c r="A42" s="268"/>
      <c r="B42" s="195" t="s">
        <v>20</v>
      </c>
      <c r="C42" s="188">
        <v>0</v>
      </c>
      <c r="D42" s="188">
        <v>0</v>
      </c>
      <c r="E42" s="188">
        <v>0</v>
      </c>
      <c r="F42" s="188">
        <v>0</v>
      </c>
      <c r="G42" s="188">
        <v>0</v>
      </c>
      <c r="H42" s="188">
        <v>0</v>
      </c>
      <c r="I42" s="188">
        <v>0</v>
      </c>
      <c r="J42" s="188">
        <v>0</v>
      </c>
      <c r="K42" s="188">
        <v>0</v>
      </c>
      <c r="L42" s="188">
        <v>0</v>
      </c>
      <c r="M42" s="188">
        <v>2</v>
      </c>
      <c r="N42" s="188">
        <v>26</v>
      </c>
      <c r="O42" s="188">
        <v>26</v>
      </c>
      <c r="P42" s="188">
        <v>47</v>
      </c>
      <c r="Q42" s="188">
        <v>78</v>
      </c>
      <c r="R42" s="188">
        <v>163</v>
      </c>
      <c r="S42" s="188">
        <v>292</v>
      </c>
      <c r="T42" s="188">
        <v>389</v>
      </c>
      <c r="U42" s="188">
        <v>563</v>
      </c>
      <c r="V42" s="188">
        <v>621</v>
      </c>
      <c r="W42" s="188">
        <v>690</v>
      </c>
      <c r="X42" s="188">
        <v>881</v>
      </c>
      <c r="Y42" s="188">
        <v>1141</v>
      </c>
      <c r="Z42" s="188">
        <v>1197</v>
      </c>
      <c r="AA42" s="188">
        <v>1796</v>
      </c>
      <c r="AB42" s="188">
        <v>704</v>
      </c>
      <c r="AC42" s="188">
        <v>2076</v>
      </c>
      <c r="AD42" s="188">
        <v>2076</v>
      </c>
      <c r="AE42" s="188">
        <v>2532</v>
      </c>
      <c r="AF42" s="189">
        <v>2532</v>
      </c>
    </row>
    <row r="43" spans="1:32" x14ac:dyDescent="0.25">
      <c r="A43" s="268"/>
      <c r="B43" s="196" t="s">
        <v>17</v>
      </c>
      <c r="C43" s="197">
        <v>0</v>
      </c>
      <c r="D43" s="197">
        <v>0</v>
      </c>
      <c r="E43" s="197">
        <v>0</v>
      </c>
      <c r="F43" s="197">
        <v>0</v>
      </c>
      <c r="G43" s="197">
        <v>0</v>
      </c>
      <c r="H43" s="197">
        <v>0</v>
      </c>
      <c r="I43" s="197">
        <v>0</v>
      </c>
      <c r="J43" s="197">
        <v>0</v>
      </c>
      <c r="K43" s="197">
        <v>0</v>
      </c>
      <c r="L43" s="197">
        <v>0</v>
      </c>
      <c r="M43" s="197">
        <v>2</v>
      </c>
      <c r="N43" s="197">
        <v>63</v>
      </c>
      <c r="O43" s="197">
        <v>63</v>
      </c>
      <c r="P43" s="197">
        <v>92</v>
      </c>
      <c r="Q43" s="197">
        <v>156</v>
      </c>
      <c r="R43" s="197">
        <v>283</v>
      </c>
      <c r="S43" s="197">
        <v>537</v>
      </c>
      <c r="T43" s="197">
        <v>756</v>
      </c>
      <c r="U43" s="197">
        <v>1157</v>
      </c>
      <c r="V43" s="197">
        <v>1273</v>
      </c>
      <c r="W43" s="197">
        <v>1910</v>
      </c>
      <c r="X43" s="197">
        <v>2547</v>
      </c>
      <c r="Y43" s="197">
        <v>3453</v>
      </c>
      <c r="Z43" s="197">
        <v>3743</v>
      </c>
      <c r="AA43" s="197">
        <v>5454</v>
      </c>
      <c r="AB43" s="197">
        <v>2820</v>
      </c>
      <c r="AC43" s="197">
        <v>21918</v>
      </c>
      <c r="AD43" s="197">
        <v>21918</v>
      </c>
      <c r="AE43" s="197">
        <v>25533</v>
      </c>
      <c r="AF43" s="198">
        <v>25475</v>
      </c>
    </row>
    <row r="44" spans="1:32" x14ac:dyDescent="0.25">
      <c r="A44" s="268" t="s">
        <v>299</v>
      </c>
      <c r="B44" s="194" t="s">
        <v>19</v>
      </c>
      <c r="C44" s="188">
        <v>0</v>
      </c>
      <c r="D44" s="188">
        <v>0</v>
      </c>
      <c r="E44" s="188">
        <v>0</v>
      </c>
      <c r="F44" s="188">
        <v>0</v>
      </c>
      <c r="G44" s="188">
        <v>0</v>
      </c>
      <c r="H44" s="188">
        <v>0</v>
      </c>
      <c r="I44" s="188">
        <v>0</v>
      </c>
      <c r="J44" s="188">
        <v>0</v>
      </c>
      <c r="K44" s="188">
        <v>0</v>
      </c>
      <c r="L44" s="188">
        <v>0</v>
      </c>
      <c r="M44" s="188">
        <v>8</v>
      </c>
      <c r="N44" s="188">
        <v>101</v>
      </c>
      <c r="O44" s="188">
        <v>101</v>
      </c>
      <c r="P44" s="188">
        <v>230</v>
      </c>
      <c r="Q44" s="188">
        <v>293</v>
      </c>
      <c r="R44" s="188">
        <v>392</v>
      </c>
      <c r="S44" s="188">
        <v>882</v>
      </c>
      <c r="T44" s="188">
        <v>2696</v>
      </c>
      <c r="U44" s="188">
        <v>7123</v>
      </c>
      <c r="V44" s="188">
        <v>8119</v>
      </c>
      <c r="W44" s="188">
        <v>9393</v>
      </c>
      <c r="X44" s="188">
        <v>10091</v>
      </c>
      <c r="Y44" s="188">
        <v>11013</v>
      </c>
      <c r="Z44" s="188">
        <v>11184</v>
      </c>
      <c r="AA44" s="188">
        <v>12660</v>
      </c>
      <c r="AB44" s="188">
        <v>12908</v>
      </c>
      <c r="AC44" s="188">
        <v>13543</v>
      </c>
      <c r="AD44" s="188">
        <v>14610</v>
      </c>
      <c r="AE44" s="188">
        <v>19006</v>
      </c>
      <c r="AF44" s="189">
        <v>21132</v>
      </c>
    </row>
    <row r="45" spans="1:32" x14ac:dyDescent="0.25">
      <c r="A45" s="268"/>
      <c r="B45" s="195" t="s">
        <v>20</v>
      </c>
      <c r="C45" s="188">
        <v>0</v>
      </c>
      <c r="D45" s="188">
        <v>0</v>
      </c>
      <c r="E45" s="188">
        <v>0</v>
      </c>
      <c r="F45" s="188">
        <v>0</v>
      </c>
      <c r="G45" s="188">
        <v>0</v>
      </c>
      <c r="H45" s="188">
        <v>0</v>
      </c>
      <c r="I45" s="188">
        <v>0</v>
      </c>
      <c r="J45" s="188">
        <v>0</v>
      </c>
      <c r="K45" s="188">
        <v>0</v>
      </c>
      <c r="L45" s="188">
        <v>0</v>
      </c>
      <c r="M45" s="188">
        <v>0</v>
      </c>
      <c r="N45" s="188">
        <v>0</v>
      </c>
      <c r="O45" s="188">
        <v>0</v>
      </c>
      <c r="P45" s="188">
        <v>0</v>
      </c>
      <c r="Q45" s="188">
        <v>0</v>
      </c>
      <c r="R45" s="188">
        <v>0</v>
      </c>
      <c r="S45" s="188">
        <v>22</v>
      </c>
      <c r="T45" s="188">
        <v>287</v>
      </c>
      <c r="U45" s="188">
        <v>313</v>
      </c>
      <c r="V45" s="188">
        <v>564</v>
      </c>
      <c r="W45" s="188">
        <v>805</v>
      </c>
      <c r="X45" s="188">
        <v>1747</v>
      </c>
      <c r="Y45" s="188">
        <v>1768</v>
      </c>
      <c r="Z45" s="188">
        <v>1768</v>
      </c>
      <c r="AA45" s="188">
        <v>2342</v>
      </c>
      <c r="AB45" s="188">
        <v>2342</v>
      </c>
      <c r="AC45" s="188">
        <v>2342</v>
      </c>
      <c r="AD45" s="188">
        <v>2342</v>
      </c>
      <c r="AE45" s="188">
        <v>2912</v>
      </c>
      <c r="AF45" s="189">
        <v>2912</v>
      </c>
    </row>
    <row r="46" spans="1:32" x14ac:dyDescent="0.25">
      <c r="A46" s="268"/>
      <c r="B46" s="196" t="s">
        <v>17</v>
      </c>
      <c r="C46" s="197">
        <v>0</v>
      </c>
      <c r="D46" s="197">
        <v>0</v>
      </c>
      <c r="E46" s="197">
        <v>0</v>
      </c>
      <c r="F46" s="197">
        <v>0</v>
      </c>
      <c r="G46" s="197">
        <v>0</v>
      </c>
      <c r="H46" s="197">
        <v>0</v>
      </c>
      <c r="I46" s="197">
        <v>0</v>
      </c>
      <c r="J46" s="197">
        <v>0</v>
      </c>
      <c r="K46" s="197">
        <v>0</v>
      </c>
      <c r="L46" s="197">
        <v>0</v>
      </c>
      <c r="M46" s="197">
        <v>8</v>
      </c>
      <c r="N46" s="197">
        <v>101</v>
      </c>
      <c r="O46" s="197">
        <v>101</v>
      </c>
      <c r="P46" s="197">
        <v>230</v>
      </c>
      <c r="Q46" s="197">
        <v>293</v>
      </c>
      <c r="R46" s="197">
        <v>392</v>
      </c>
      <c r="S46" s="197">
        <v>904</v>
      </c>
      <c r="T46" s="197">
        <v>2983</v>
      </c>
      <c r="U46" s="197">
        <v>7436</v>
      </c>
      <c r="V46" s="197">
        <v>8683</v>
      </c>
      <c r="W46" s="197">
        <v>10198</v>
      </c>
      <c r="X46" s="197">
        <v>11838</v>
      </c>
      <c r="Y46" s="197">
        <v>12781</v>
      </c>
      <c r="Z46" s="197">
        <v>12952</v>
      </c>
      <c r="AA46" s="197">
        <v>15002</v>
      </c>
      <c r="AB46" s="197">
        <v>15250</v>
      </c>
      <c r="AC46" s="197">
        <v>15885</v>
      </c>
      <c r="AD46" s="197">
        <v>17084</v>
      </c>
      <c r="AE46" s="197">
        <v>21918</v>
      </c>
      <c r="AF46" s="198">
        <v>24044</v>
      </c>
    </row>
  </sheetData>
  <mergeCells count="16">
    <mergeCell ref="A21:A24"/>
    <mergeCell ref="A3:B3"/>
    <mergeCell ref="A8:A11"/>
    <mergeCell ref="A12:A14"/>
    <mergeCell ref="A15:A17"/>
    <mergeCell ref="A18:A20"/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topLeftCell="I1" workbookViewId="0">
      <selection activeCell="B27" sqref="B27"/>
    </sheetView>
  </sheetViews>
  <sheetFormatPr defaultRowHeight="15" x14ac:dyDescent="0.25"/>
  <cols>
    <col min="1" max="1" width="9.140625" style="184"/>
    <col min="2" max="2" width="17.85546875" style="184" customWidth="1"/>
    <col min="3" max="3" width="11.28515625" style="184" bestFit="1" customWidth="1"/>
    <col min="4" max="4" width="11.5703125" style="184" bestFit="1" customWidth="1"/>
    <col min="5" max="5" width="13.42578125" style="184" bestFit="1" customWidth="1"/>
    <col min="6" max="16384" width="9.140625" style="184"/>
  </cols>
  <sheetData>
    <row r="1" spans="1:23" x14ac:dyDescent="0.25">
      <c r="A1" s="272" t="s">
        <v>0</v>
      </c>
      <c r="B1" s="272"/>
      <c r="C1" s="185">
        <v>33939</v>
      </c>
      <c r="D1" s="185">
        <v>37591</v>
      </c>
      <c r="E1" s="185">
        <v>41244</v>
      </c>
    </row>
    <row r="2" spans="1:23" x14ac:dyDescent="0.25">
      <c r="A2" s="186" t="s">
        <v>284</v>
      </c>
      <c r="B2" s="187"/>
      <c r="C2" s="188">
        <v>7</v>
      </c>
      <c r="D2" s="188">
        <v>68</v>
      </c>
      <c r="E2" s="188">
        <f>'Cummulative Progress since 82'!AF4</f>
        <v>112</v>
      </c>
    </row>
    <row r="4" spans="1:23" x14ac:dyDescent="0.25">
      <c r="C4" s="184" t="s">
        <v>300</v>
      </c>
      <c r="D4" s="184" t="s">
        <v>301</v>
      </c>
      <c r="E4" s="184" t="s">
        <v>302</v>
      </c>
      <c r="S4" s="272" t="s">
        <v>0</v>
      </c>
      <c r="T4" s="272"/>
      <c r="U4" s="185">
        <v>33939</v>
      </c>
      <c r="V4" s="185">
        <v>37591</v>
      </c>
      <c r="W4" s="185">
        <v>41244</v>
      </c>
    </row>
    <row r="5" spans="1:23" x14ac:dyDescent="0.25">
      <c r="C5" s="213">
        <f>C2</f>
        <v>7</v>
      </c>
      <c r="D5" s="213">
        <f>D2</f>
        <v>68</v>
      </c>
      <c r="E5" s="213">
        <f>E2</f>
        <v>112</v>
      </c>
      <c r="S5" s="186" t="s">
        <v>303</v>
      </c>
      <c r="T5" s="187"/>
      <c r="U5" s="188">
        <f>'Cummulative Progress since 82'!L7</f>
        <v>0</v>
      </c>
      <c r="V5" s="188">
        <f>'Cummulative Progress since 82'!V7</f>
        <v>0</v>
      </c>
      <c r="W5" s="188">
        <f>'Cummulative Progress since 82'!AF7</f>
        <v>765</v>
      </c>
    </row>
    <row r="7" spans="1:23" x14ac:dyDescent="0.25">
      <c r="U7" s="184" t="s">
        <v>300</v>
      </c>
      <c r="V7" s="184" t="s">
        <v>301</v>
      </c>
      <c r="W7" s="184" t="s">
        <v>302</v>
      </c>
    </row>
    <row r="8" spans="1:23" x14ac:dyDescent="0.25">
      <c r="U8" s="213">
        <f>U5</f>
        <v>0</v>
      </c>
      <c r="V8" s="213">
        <f>V5</f>
        <v>0</v>
      </c>
      <c r="W8" s="213">
        <f>W5</f>
        <v>765</v>
      </c>
    </row>
    <row r="26" spans="1:5" x14ac:dyDescent="0.25">
      <c r="A26" s="272" t="s">
        <v>0</v>
      </c>
      <c r="B26" s="272"/>
      <c r="C26" s="185">
        <v>33939</v>
      </c>
      <c r="D26" s="185">
        <v>37591</v>
      </c>
      <c r="E26" s="185">
        <v>41244</v>
      </c>
    </row>
    <row r="27" spans="1:5" x14ac:dyDescent="0.25">
      <c r="A27" s="190" t="s">
        <v>285</v>
      </c>
      <c r="B27" s="187"/>
      <c r="C27" s="188">
        <v>121</v>
      </c>
      <c r="D27" s="188">
        <v>1521</v>
      </c>
      <c r="E27" s="188">
        <f>'Cummulative Progress since 82'!AF5</f>
        <v>3579</v>
      </c>
    </row>
    <row r="30" spans="1:5" x14ac:dyDescent="0.25">
      <c r="C30" s="184" t="s">
        <v>300</v>
      </c>
      <c r="D30" s="184" t="s">
        <v>301</v>
      </c>
      <c r="E30" s="184" t="s">
        <v>302</v>
      </c>
    </row>
    <row r="31" spans="1:5" x14ac:dyDescent="0.25">
      <c r="C31" s="213">
        <f>C27</f>
        <v>121</v>
      </c>
      <c r="D31" s="213">
        <f>D27</f>
        <v>1521</v>
      </c>
      <c r="E31" s="213">
        <f>E27</f>
        <v>3579</v>
      </c>
    </row>
    <row r="51" spans="1:5" x14ac:dyDescent="0.25">
      <c r="A51" s="272" t="s">
        <v>0</v>
      </c>
      <c r="B51" s="272"/>
      <c r="C51" s="185">
        <v>33939</v>
      </c>
      <c r="D51" s="185">
        <v>37591</v>
      </c>
      <c r="E51" s="185">
        <v>41244</v>
      </c>
    </row>
    <row r="52" spans="1:5" x14ac:dyDescent="0.25">
      <c r="A52" s="190" t="s">
        <v>286</v>
      </c>
      <c r="B52" s="187"/>
      <c r="C52" s="188">
        <v>75465.052497846686</v>
      </c>
      <c r="D52" s="188">
        <v>740798.94726836472</v>
      </c>
      <c r="E52" s="188">
        <f>'Cummulative Progress since 82'!AF6</f>
        <v>5190417</v>
      </c>
    </row>
    <row r="56" spans="1:5" x14ac:dyDescent="0.25">
      <c r="C56" s="184" t="s">
        <v>300</v>
      </c>
      <c r="D56" s="184" t="s">
        <v>301</v>
      </c>
      <c r="E56" s="184" t="s">
        <v>302</v>
      </c>
    </row>
    <row r="57" spans="1:5" x14ac:dyDescent="0.25">
      <c r="C57" s="214">
        <f>C52/1000000</f>
        <v>7.5465052497846685E-2</v>
      </c>
      <c r="D57" s="214">
        <f>D52/1000000</f>
        <v>0.7407989472683647</v>
      </c>
      <c r="E57" s="215">
        <f>E52/1000000</f>
        <v>5.1904170000000001</v>
      </c>
    </row>
    <row r="74" spans="1:5" x14ac:dyDescent="0.25">
      <c r="A74" s="272" t="s">
        <v>0</v>
      </c>
      <c r="B74" s="272"/>
      <c r="C74" s="185">
        <v>33939</v>
      </c>
      <c r="D74" s="185">
        <v>37591</v>
      </c>
      <c r="E74" s="185">
        <v>41244</v>
      </c>
    </row>
    <row r="75" spans="1:5" x14ac:dyDescent="0.25">
      <c r="A75" s="268" t="s">
        <v>13</v>
      </c>
      <c r="B75" s="194" t="s">
        <v>14</v>
      </c>
      <c r="C75" s="188">
        <v>612</v>
      </c>
      <c r="D75" s="188">
        <v>11806</v>
      </c>
      <c r="E75" s="188">
        <f>'Cummulative Progress since 82'!AF8</f>
        <v>151842</v>
      </c>
    </row>
    <row r="76" spans="1:5" x14ac:dyDescent="0.25">
      <c r="A76" s="268"/>
      <c r="B76" s="195" t="s">
        <v>15</v>
      </c>
      <c r="C76" s="188">
        <v>1723</v>
      </c>
      <c r="D76" s="188">
        <v>23567.25</v>
      </c>
      <c r="E76" s="188">
        <f>'Cummulative Progress since 82'!AF9</f>
        <v>150078</v>
      </c>
    </row>
    <row r="77" spans="1:5" x14ac:dyDescent="0.25">
      <c r="A77" s="268"/>
      <c r="B77" s="195" t="s">
        <v>16</v>
      </c>
      <c r="C77" s="188">
        <v>0</v>
      </c>
      <c r="D77" s="188">
        <v>1252.0999999999999</v>
      </c>
      <c r="E77" s="188">
        <f>'Cummulative Progress since 82'!AF10</f>
        <v>11224</v>
      </c>
    </row>
    <row r="78" spans="1:5" x14ac:dyDescent="0.25">
      <c r="A78" s="268"/>
      <c r="B78" s="196" t="s">
        <v>17</v>
      </c>
      <c r="C78" s="197">
        <v>2335</v>
      </c>
      <c r="D78" s="197">
        <v>36625.35</v>
      </c>
      <c r="E78" s="197">
        <f>SUM(E75:E77)</f>
        <v>313144</v>
      </c>
    </row>
    <row r="82" spans="2:5" x14ac:dyDescent="0.25">
      <c r="C82" s="184" t="s">
        <v>300</v>
      </c>
      <c r="D82" s="184" t="s">
        <v>301</v>
      </c>
      <c r="E82" s="184" t="s">
        <v>302</v>
      </c>
    </row>
    <row r="83" spans="2:5" x14ac:dyDescent="0.25">
      <c r="B83" s="194" t="s">
        <v>14</v>
      </c>
      <c r="C83" s="213">
        <f>C75</f>
        <v>612</v>
      </c>
      <c r="D83" s="213">
        <f>D75</f>
        <v>11806</v>
      </c>
      <c r="E83" s="213">
        <f>E75</f>
        <v>151842</v>
      </c>
    </row>
    <row r="84" spans="2:5" x14ac:dyDescent="0.25">
      <c r="B84" s="195" t="s">
        <v>15</v>
      </c>
      <c r="C84" s="213">
        <f t="shared" ref="C84:E86" si="0">C76</f>
        <v>1723</v>
      </c>
      <c r="D84" s="213">
        <f t="shared" si="0"/>
        <v>23567.25</v>
      </c>
      <c r="E84" s="213">
        <f t="shared" si="0"/>
        <v>150078</v>
      </c>
    </row>
    <row r="85" spans="2:5" x14ac:dyDescent="0.25">
      <c r="B85" s="195" t="s">
        <v>16</v>
      </c>
      <c r="C85" s="213">
        <f t="shared" si="0"/>
        <v>0</v>
      </c>
      <c r="D85" s="213">
        <f t="shared" si="0"/>
        <v>1252.0999999999999</v>
      </c>
      <c r="E85" s="213">
        <f t="shared" si="0"/>
        <v>11224</v>
      </c>
    </row>
    <row r="86" spans="2:5" x14ac:dyDescent="0.25">
      <c r="B86" s="196" t="s">
        <v>17</v>
      </c>
      <c r="C86" s="213">
        <f t="shared" si="0"/>
        <v>2335</v>
      </c>
      <c r="D86" s="213">
        <f t="shared" si="0"/>
        <v>36625.35</v>
      </c>
      <c r="E86" s="213">
        <f t="shared" si="0"/>
        <v>313144</v>
      </c>
    </row>
    <row r="102" spans="1:5" x14ac:dyDescent="0.25">
      <c r="C102" s="184" t="s">
        <v>300</v>
      </c>
      <c r="D102" s="184" t="s">
        <v>301</v>
      </c>
      <c r="E102" s="184" t="s">
        <v>302</v>
      </c>
    </row>
    <row r="103" spans="1:5" x14ac:dyDescent="0.25">
      <c r="A103" s="269" t="s">
        <v>288</v>
      </c>
      <c r="B103" s="199" t="s">
        <v>19</v>
      </c>
      <c r="C103" s="216">
        <f>'Cummulative Progress since 82'!L15</f>
        <v>17.787599999999998</v>
      </c>
      <c r="D103" s="216">
        <f>'Cummulative Progress since 82'!V15</f>
        <v>214.49246599999998</v>
      </c>
      <c r="E103" s="216">
        <f>'Cummulative Progress since 82'!AF15</f>
        <v>748.18999999999994</v>
      </c>
    </row>
    <row r="104" spans="1:5" x14ac:dyDescent="0.25">
      <c r="A104" s="269"/>
      <c r="B104" s="201" t="s">
        <v>20</v>
      </c>
      <c r="C104" s="216">
        <f>'Cummulative Progress since 82'!L16</f>
        <v>127.39009999999999</v>
      </c>
      <c r="D104" s="216">
        <f>'Cummulative Progress since 82'!V16</f>
        <v>628.37888399999997</v>
      </c>
      <c r="E104" s="216">
        <f>'Cummulative Progress since 82'!AF16</f>
        <v>1820.3119999999997</v>
      </c>
    </row>
    <row r="105" spans="1:5" x14ac:dyDescent="0.25">
      <c r="A105" s="269"/>
      <c r="B105" s="196" t="s">
        <v>17</v>
      </c>
      <c r="C105" s="216">
        <f>'Cummulative Progress since 82'!L17</f>
        <v>145.17769999999999</v>
      </c>
      <c r="D105" s="216">
        <f>'Cummulative Progress since 82'!V17</f>
        <v>842.87134999999989</v>
      </c>
      <c r="E105" s="216">
        <f>'Cummulative Progress since 82'!AF17</f>
        <v>2568.5019999999995</v>
      </c>
    </row>
    <row r="117" spans="1:5" x14ac:dyDescent="0.25">
      <c r="C117" s="184" t="s">
        <v>300</v>
      </c>
      <c r="D117" s="184" t="s">
        <v>301</v>
      </c>
      <c r="E117" s="184" t="s">
        <v>302</v>
      </c>
    </row>
    <row r="118" spans="1:5" x14ac:dyDescent="0.25">
      <c r="A118" s="268" t="s">
        <v>21</v>
      </c>
      <c r="B118" s="194" t="s">
        <v>19</v>
      </c>
      <c r="C118" s="216">
        <f>'Cummulative Progress since 82'!L18</f>
        <v>1318</v>
      </c>
      <c r="D118" s="216">
        <f>'Cummulative Progress since 82'!V18</f>
        <v>115299</v>
      </c>
      <c r="E118" s="216">
        <f>'Cummulative Progress since 82'!AF18</f>
        <v>1635674</v>
      </c>
    </row>
    <row r="119" spans="1:5" x14ac:dyDescent="0.25">
      <c r="A119" s="268"/>
      <c r="B119" s="195" t="s">
        <v>20</v>
      </c>
      <c r="C119" s="216">
        <f>'Cummulative Progress since 82'!L19</f>
        <v>9601</v>
      </c>
      <c r="D119" s="216">
        <f>'Cummulative Progress since 82'!V19</f>
        <v>253956</v>
      </c>
      <c r="E119" s="216">
        <f>'Cummulative Progress since 82'!AF19</f>
        <v>1517653</v>
      </c>
    </row>
    <row r="120" spans="1:5" x14ac:dyDescent="0.25">
      <c r="A120" s="268"/>
      <c r="B120" s="196" t="s">
        <v>17</v>
      </c>
      <c r="C120" s="216">
        <f>'Cummulative Progress since 82'!L20</f>
        <v>10919</v>
      </c>
      <c r="D120" s="216">
        <f>'Cummulative Progress since 82'!V20</f>
        <v>369255</v>
      </c>
      <c r="E120" s="216">
        <f>'Cummulative Progress since 82'!AF20</f>
        <v>3153327</v>
      </c>
    </row>
    <row r="138" spans="1:5" x14ac:dyDescent="0.25">
      <c r="C138" s="184" t="s">
        <v>300</v>
      </c>
      <c r="D138" s="184" t="s">
        <v>301</v>
      </c>
      <c r="E138" s="184" t="s">
        <v>302</v>
      </c>
    </row>
    <row r="139" spans="1:5" x14ac:dyDescent="0.25">
      <c r="A139" s="269" t="s">
        <v>22</v>
      </c>
      <c r="B139" s="199" t="s">
        <v>19</v>
      </c>
      <c r="C139" s="216">
        <f>'Cummulative Progress since 82'!L25</f>
        <v>11.086100000000002</v>
      </c>
      <c r="D139" s="216">
        <f>'Cummulative Progress since 82'!V25</f>
        <v>1129.6137100000001</v>
      </c>
      <c r="E139" s="216">
        <f>'Cummulative Progress since 82'!AF25</f>
        <v>34781.01571</v>
      </c>
    </row>
    <row r="140" spans="1:5" x14ac:dyDescent="0.25">
      <c r="A140" s="269"/>
      <c r="B140" s="201" t="s">
        <v>20</v>
      </c>
      <c r="C140" s="216">
        <f>'Cummulative Progress since 82'!L26</f>
        <v>144.87455300000002</v>
      </c>
      <c r="D140" s="216">
        <f>'Cummulative Progress since 82'!V26</f>
        <v>5493.9082699999999</v>
      </c>
      <c r="E140" s="216">
        <f>'Cummulative Progress since 82'!AF26</f>
        <v>50357.762002000003</v>
      </c>
    </row>
    <row r="141" spans="1:5" x14ac:dyDescent="0.25">
      <c r="A141" s="269"/>
      <c r="B141" s="196" t="s">
        <v>17</v>
      </c>
      <c r="C141" s="216">
        <f>'Cummulative Progress since 82'!L27</f>
        <v>155.96065300000001</v>
      </c>
      <c r="D141" s="216">
        <f>'Cummulative Progress since 82'!V27</f>
        <v>6623.5219799999995</v>
      </c>
      <c r="E141" s="216">
        <f>'Cummulative Progress since 82'!AF27</f>
        <v>85138.77771200001</v>
      </c>
    </row>
    <row r="159" spans="1:5" x14ac:dyDescent="0.25">
      <c r="C159" s="184" t="s">
        <v>300</v>
      </c>
      <c r="D159" s="184" t="s">
        <v>301</v>
      </c>
      <c r="E159" s="184" t="s">
        <v>302</v>
      </c>
    </row>
    <row r="160" spans="1:5" x14ac:dyDescent="0.25">
      <c r="A160" s="269" t="s">
        <v>291</v>
      </c>
      <c r="B160" s="201" t="s">
        <v>292</v>
      </c>
    </row>
    <row r="161" spans="1:5" x14ac:dyDescent="0.25">
      <c r="A161" s="269"/>
      <c r="B161" s="201" t="s">
        <v>293</v>
      </c>
    </row>
    <row r="162" spans="1:5" x14ac:dyDescent="0.25">
      <c r="A162" s="269"/>
      <c r="B162" s="196" t="s">
        <v>17</v>
      </c>
    </row>
    <row r="163" spans="1:5" x14ac:dyDescent="0.25">
      <c r="C163" s="184" t="s">
        <v>300</v>
      </c>
      <c r="D163" s="184" t="s">
        <v>301</v>
      </c>
      <c r="E163" s="184" t="s">
        <v>302</v>
      </c>
    </row>
    <row r="164" spans="1:5" ht="43.5" x14ac:dyDescent="0.25">
      <c r="B164" s="195" t="s">
        <v>290</v>
      </c>
      <c r="C164" s="184">
        <v>0</v>
      </c>
      <c r="D164" s="184">
        <v>0</v>
      </c>
      <c r="E164" s="217">
        <f>'Cummulative Progress since 82'!AF24</f>
        <v>1652.9050830000001</v>
      </c>
    </row>
    <row r="172" spans="1:5" x14ac:dyDescent="0.25">
      <c r="C172" s="184" t="s">
        <v>300</v>
      </c>
      <c r="D172" s="184" t="s">
        <v>301</v>
      </c>
      <c r="E172" s="184" t="s">
        <v>302</v>
      </c>
    </row>
    <row r="173" spans="1:5" x14ac:dyDescent="0.25">
      <c r="A173" s="268" t="s">
        <v>295</v>
      </c>
      <c r="B173" s="194" t="s">
        <v>19</v>
      </c>
      <c r="C173" s="216">
        <v>0</v>
      </c>
      <c r="D173" s="216">
        <v>0</v>
      </c>
      <c r="E173" s="216">
        <f>'Cummulative Progress since 82'!AF31</f>
        <v>971319.44</v>
      </c>
    </row>
    <row r="174" spans="1:5" x14ac:dyDescent="0.25">
      <c r="A174" s="268"/>
      <c r="B174" s="195" t="s">
        <v>20</v>
      </c>
      <c r="C174" s="216">
        <v>0</v>
      </c>
      <c r="D174" s="216">
        <v>0</v>
      </c>
      <c r="E174" s="216">
        <f>'Cummulative Progress since 82'!AF32</f>
        <v>2529821.56</v>
      </c>
    </row>
    <row r="175" spans="1:5" x14ac:dyDescent="0.25">
      <c r="A175" s="268"/>
      <c r="B175" s="196" t="s">
        <v>17</v>
      </c>
      <c r="C175" s="216">
        <v>0</v>
      </c>
      <c r="D175" s="216">
        <v>0</v>
      </c>
      <c r="E175" s="216">
        <f>'Cummulative Progress since 82'!AF33</f>
        <v>3501141</v>
      </c>
    </row>
    <row r="188" spans="2:5" x14ac:dyDescent="0.25">
      <c r="C188" s="184" t="s">
        <v>300</v>
      </c>
      <c r="D188" s="184" t="s">
        <v>301</v>
      </c>
      <c r="E188" s="184" t="s">
        <v>302</v>
      </c>
    </row>
    <row r="189" spans="2:5" ht="28.5" x14ac:dyDescent="0.25">
      <c r="B189" s="218" t="s">
        <v>296</v>
      </c>
      <c r="C189" s="219">
        <f>'Cummulative Progress since 82'!K34</f>
        <v>1244</v>
      </c>
      <c r="D189" s="216">
        <f>'Cummulative Progress since 82'!V34</f>
        <v>18053</v>
      </c>
      <c r="E189" s="216">
        <f>'Cummulative Progress since 82'!AF34</f>
        <v>140993</v>
      </c>
    </row>
    <row r="190" spans="2:5" ht="28.5" x14ac:dyDescent="0.25">
      <c r="B190" s="220" t="s">
        <v>298</v>
      </c>
      <c r="C190" s="219">
        <f>'Cummulative Progress since 82'!K36</f>
        <v>223.26499999999999</v>
      </c>
      <c r="D190" s="216">
        <f>'Cummulative Progress since 82'!V36</f>
        <v>2310.2607330000001</v>
      </c>
      <c r="E190" s="216">
        <f>'Cummulative Progress since 82'!AF36</f>
        <v>17467.013999999999</v>
      </c>
    </row>
    <row r="195" spans="2:5" x14ac:dyDescent="0.25">
      <c r="C195" s="184" t="s">
        <v>300</v>
      </c>
      <c r="D195" s="184" t="s">
        <v>301</v>
      </c>
      <c r="E195" s="184" t="s">
        <v>302</v>
      </c>
    </row>
    <row r="196" spans="2:5" ht="42.75" x14ac:dyDescent="0.25">
      <c r="B196" s="218" t="s">
        <v>297</v>
      </c>
      <c r="C196" s="219">
        <f>'Cummulative Progress since 82'!K35</f>
        <v>70315</v>
      </c>
      <c r="D196" s="216">
        <f>'Cummulative Progress since 82'!V35</f>
        <v>924178</v>
      </c>
      <c r="E196" s="216">
        <f>'Cummulative Progress since 82'!AF35</f>
        <v>4258376</v>
      </c>
    </row>
  </sheetData>
  <mergeCells count="11">
    <mergeCell ref="A75:A78"/>
    <mergeCell ref="A1:B1"/>
    <mergeCell ref="S4:T4"/>
    <mergeCell ref="A26:B26"/>
    <mergeCell ref="A51:B51"/>
    <mergeCell ref="A74:B74"/>
    <mergeCell ref="A103:A105"/>
    <mergeCell ref="A118:A120"/>
    <mergeCell ref="A139:A141"/>
    <mergeCell ref="A160:A162"/>
    <mergeCell ref="A173:A17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pane xSplit="2" ySplit="3" topLeftCell="C11" activePane="bottomRight" state="frozen"/>
      <selection activeCell="B27" sqref="B27"/>
      <selection pane="topRight" activeCell="B27" sqref="B27"/>
      <selection pane="bottomLeft" activeCell="B27" sqref="B27"/>
      <selection pane="bottomRight" activeCell="B18" sqref="B18"/>
    </sheetView>
  </sheetViews>
  <sheetFormatPr defaultRowHeight="15" x14ac:dyDescent="0.25"/>
  <cols>
    <col min="1" max="1" width="35.42578125" style="184" customWidth="1"/>
    <col min="2" max="2" width="25.5703125" style="184" customWidth="1"/>
    <col min="3" max="3" width="18.140625" style="184" customWidth="1"/>
    <col min="4" max="4" width="16.28515625" style="184" customWidth="1"/>
    <col min="5" max="5" width="12.140625" style="184" customWidth="1"/>
    <col min="6" max="6" width="16.140625" style="184" customWidth="1"/>
    <col min="7" max="7" width="13.42578125" style="184" customWidth="1"/>
    <col min="8" max="8" width="12.85546875" style="184" customWidth="1"/>
    <col min="9" max="9" width="13.85546875" style="184" customWidth="1"/>
    <col min="10" max="10" width="12.85546875" style="184" customWidth="1"/>
    <col min="11" max="11" width="16.7109375" style="184" customWidth="1"/>
    <col min="12" max="12" width="16.5703125" style="184" customWidth="1"/>
    <col min="13" max="13" width="13.140625" style="184" customWidth="1"/>
    <col min="14" max="14" width="16.28515625" style="184" customWidth="1"/>
    <col min="15" max="15" width="15.7109375" style="184" customWidth="1"/>
    <col min="16" max="16" width="16.7109375" style="184" customWidth="1"/>
    <col min="17" max="17" width="16.28515625" style="184" customWidth="1"/>
    <col min="18" max="18" width="17.28515625" style="184" customWidth="1"/>
    <col min="19" max="19" width="17.5703125" style="184" customWidth="1"/>
    <col min="20" max="20" width="15.7109375" style="184" customWidth="1"/>
    <col min="21" max="21" width="17.7109375" style="184" customWidth="1"/>
    <col min="22" max="22" width="18.140625" style="184" customWidth="1"/>
    <col min="23" max="23" width="16.28515625" style="184" customWidth="1"/>
    <col min="24" max="24" width="19.140625" style="184" customWidth="1"/>
    <col min="25" max="26" width="13.85546875" style="184" customWidth="1"/>
    <col min="27" max="27" width="12.140625" style="184" customWidth="1"/>
    <col min="28" max="28" width="13.5703125" style="184" customWidth="1"/>
    <col min="29" max="29" width="14.5703125" style="184" customWidth="1"/>
    <col min="30" max="30" width="13.140625" style="184" customWidth="1"/>
    <col min="31" max="31" width="12.42578125" style="184" customWidth="1"/>
    <col min="32" max="32" width="14" style="184" customWidth="1"/>
    <col min="33" max="33" width="10.85546875" style="184" bestFit="1" customWidth="1"/>
    <col min="34" max="34" width="9.5703125" style="184" bestFit="1" customWidth="1"/>
    <col min="35" max="16384" width="9.140625" style="184"/>
  </cols>
  <sheetData>
    <row r="1" spans="1:34" ht="15.75" x14ac:dyDescent="0.25">
      <c r="A1" s="182" t="s">
        <v>282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</row>
    <row r="2" spans="1:34" ht="15.75" x14ac:dyDescent="0.25">
      <c r="A2" s="182" t="s">
        <v>283</v>
      </c>
      <c r="B2" s="183"/>
      <c r="C2" s="183">
        <f>'Exchange rates'!C32</f>
        <v>14.288429000000001</v>
      </c>
      <c r="D2" s="183">
        <f>'Exchange rates'!C31</f>
        <v>14.811271</v>
      </c>
      <c r="E2" s="183">
        <f>'Exchange rates'!C30</f>
        <v>14.893646</v>
      </c>
      <c r="F2" s="183">
        <f>'Exchange rates'!C29</f>
        <v>15.041876</v>
      </c>
      <c r="G2" s="183">
        <f>'Exchange rates'!C28</f>
        <v>16.139358999999999</v>
      </c>
      <c r="H2" s="183">
        <f>'Exchange rates'!C27</f>
        <v>19.843609000000001</v>
      </c>
      <c r="I2" s="183">
        <f>'Exchange rates'!C26</f>
        <v>21.763497000000001</v>
      </c>
      <c r="J2" s="183">
        <f>'Exchange rates'!C25</f>
        <v>20.443417</v>
      </c>
      <c r="K2" s="183">
        <f>'Exchange rates'!C24</f>
        <v>26.268179</v>
      </c>
      <c r="L2" s="183">
        <f>'Exchange rates'!C23</f>
        <v>25.990867000000001</v>
      </c>
      <c r="M2" s="221">
        <f>'Exchange rates'!C22</f>
        <v>29.073046000000001</v>
      </c>
      <c r="N2" s="221">
        <f>'Exchange rates'!C21</f>
        <v>28.730891</v>
      </c>
      <c r="O2" s="221">
        <f>'Exchange rates'!C20</f>
        <v>29.771429999999999</v>
      </c>
      <c r="P2" s="221">
        <f>'Exchange rates'!C19</f>
        <v>37.354165000000002</v>
      </c>
      <c r="Q2" s="221">
        <f>'Exchange rates'!C18</f>
        <v>45.458930000000002</v>
      </c>
      <c r="R2" s="221">
        <f>'Exchange rates'!C17</f>
        <v>44.433608999999997</v>
      </c>
      <c r="S2" s="221">
        <f>'Exchange rates'!C16</f>
        <v>54.259295999999999</v>
      </c>
      <c r="T2" s="221">
        <f>'Exchange rates'!C15</f>
        <v>55.696345999999998</v>
      </c>
      <c r="U2" s="221">
        <f>'Exchange rates'!C14</f>
        <v>62.379555000000003</v>
      </c>
      <c r="V2" s="221">
        <f>'Exchange rates'!C13</f>
        <v>59.494475000000001</v>
      </c>
      <c r="W2" s="221">
        <f>'Exchange rates'!C12</f>
        <v>57.814433999999999</v>
      </c>
      <c r="X2" s="221">
        <f>'Exchange rates'!C11</f>
        <v>58.361262000000004</v>
      </c>
      <c r="Y2" s="221">
        <f>'Exchange rates'!C10</f>
        <v>59.604984999999999</v>
      </c>
      <c r="Z2" s="221">
        <f>'Exchange rates'!C9</f>
        <v>60.263894999999998</v>
      </c>
      <c r="AA2" s="221">
        <f>'Exchange rates'!C8</f>
        <v>60.674821000000001</v>
      </c>
      <c r="AB2" s="221">
        <f>'Exchange rates'!C7</f>
        <v>70.619783999999996</v>
      </c>
      <c r="AC2" s="221">
        <f>'Exchange rates'!C6</f>
        <v>81.598060000000004</v>
      </c>
      <c r="AD2" s="221">
        <f>'Exchange rates'!C5</f>
        <v>85.237962999999993</v>
      </c>
      <c r="AE2" s="221">
        <f>'Exchange rates'!C4</f>
        <v>86.359025000000003</v>
      </c>
      <c r="AF2" s="221">
        <f>'Exchange rates'!C3</f>
        <v>93.386073999999994</v>
      </c>
      <c r="AG2" s="221">
        <f>'Exchange rates'!C2</f>
        <v>101.611681</v>
      </c>
    </row>
    <row r="3" spans="1:34" x14ac:dyDescent="0.25">
      <c r="A3" s="272" t="s">
        <v>0</v>
      </c>
      <c r="B3" s="272"/>
      <c r="C3" s="185">
        <v>30651</v>
      </c>
      <c r="D3" s="185">
        <v>31017</v>
      </c>
      <c r="E3" s="185">
        <v>31382</v>
      </c>
      <c r="F3" s="185">
        <v>31747</v>
      </c>
      <c r="G3" s="185">
        <v>32112</v>
      </c>
      <c r="H3" s="185">
        <v>32478</v>
      </c>
      <c r="I3" s="185">
        <v>32843</v>
      </c>
      <c r="J3" s="185">
        <v>33208</v>
      </c>
      <c r="K3" s="185">
        <v>33573</v>
      </c>
      <c r="L3" s="185">
        <v>33939</v>
      </c>
      <c r="M3" s="185">
        <v>34304</v>
      </c>
      <c r="N3" s="185">
        <v>34669</v>
      </c>
      <c r="O3" s="185">
        <v>35034</v>
      </c>
      <c r="P3" s="185">
        <v>35400</v>
      </c>
      <c r="Q3" s="185">
        <v>35765</v>
      </c>
      <c r="R3" s="185">
        <v>36130</v>
      </c>
      <c r="S3" s="185">
        <v>36495</v>
      </c>
      <c r="T3" s="185">
        <v>36861</v>
      </c>
      <c r="U3" s="185">
        <v>37226</v>
      </c>
      <c r="V3" s="185">
        <v>37591</v>
      </c>
      <c r="W3" s="185">
        <v>37956</v>
      </c>
      <c r="X3" s="185">
        <v>38322</v>
      </c>
      <c r="Y3" s="185">
        <v>38687</v>
      </c>
      <c r="Z3" s="185">
        <v>39052</v>
      </c>
      <c r="AA3" s="185">
        <v>39417</v>
      </c>
      <c r="AB3" s="185">
        <v>39783</v>
      </c>
      <c r="AC3" s="185">
        <v>40148</v>
      </c>
      <c r="AD3" s="185">
        <v>40513</v>
      </c>
      <c r="AE3" s="185">
        <v>40878</v>
      </c>
      <c r="AF3" s="185">
        <v>41244</v>
      </c>
      <c r="AG3" s="185">
        <v>41609</v>
      </c>
      <c r="AH3" s="184" t="s">
        <v>17</v>
      </c>
    </row>
    <row r="4" spans="1:34" x14ac:dyDescent="0.25">
      <c r="A4" s="269" t="s">
        <v>288</v>
      </c>
      <c r="B4" s="199" t="s">
        <v>19</v>
      </c>
      <c r="C4" s="222">
        <v>0</v>
      </c>
      <c r="D4" s="222">
        <v>0.52</v>
      </c>
      <c r="E4" s="222">
        <v>1.38</v>
      </c>
      <c r="F4" s="222">
        <v>2.12</v>
      </c>
      <c r="G4" s="222">
        <v>3.3511660000000001</v>
      </c>
      <c r="H4" s="222">
        <v>4.82</v>
      </c>
      <c r="I4" s="222">
        <v>7.6400000000000006</v>
      </c>
      <c r="J4" s="222">
        <v>10.405999999999999</v>
      </c>
      <c r="K4" s="222">
        <v>13.660999999999998</v>
      </c>
      <c r="L4" s="222">
        <v>17.787599999999998</v>
      </c>
      <c r="M4" s="222">
        <v>23.410838999999996</v>
      </c>
      <c r="N4" s="222">
        <v>33.897176999999999</v>
      </c>
      <c r="O4" s="222">
        <v>50.122177000000001</v>
      </c>
      <c r="P4" s="222">
        <v>67.844358999999997</v>
      </c>
      <c r="Q4" s="222">
        <v>86.601716999999994</v>
      </c>
      <c r="R4" s="222">
        <v>113.09934699999999</v>
      </c>
      <c r="S4" s="222">
        <v>131.40386000000001</v>
      </c>
      <c r="T4" s="222">
        <v>152.436712</v>
      </c>
      <c r="U4" s="222">
        <v>187.15009699999999</v>
      </c>
      <c r="V4" s="222">
        <v>214.49246599999998</v>
      </c>
      <c r="W4" s="222">
        <v>232.68807499999997</v>
      </c>
      <c r="X4" s="222">
        <v>255.77047199999998</v>
      </c>
      <c r="Y4" s="222">
        <v>286.66726699999998</v>
      </c>
      <c r="Z4" s="222">
        <v>326.90143399999999</v>
      </c>
      <c r="AA4" s="222">
        <v>405.65</v>
      </c>
      <c r="AB4" s="222">
        <v>438.99700000000001</v>
      </c>
      <c r="AC4" s="222">
        <v>474.46</v>
      </c>
      <c r="AD4" s="222">
        <v>524.33000000000004</v>
      </c>
      <c r="AE4" s="222">
        <v>594</v>
      </c>
      <c r="AF4" s="223">
        <v>748.18999999999994</v>
      </c>
      <c r="AG4" s="217">
        <f>'2. Overall com progres Sept 13'!M15</f>
        <v>688.43830299999991</v>
      </c>
    </row>
    <row r="5" spans="1:34" x14ac:dyDescent="0.25">
      <c r="A5" s="269"/>
      <c r="B5" s="201" t="s">
        <v>20</v>
      </c>
      <c r="C5" s="222">
        <v>0.66274999999999995</v>
      </c>
      <c r="D5" s="222">
        <v>5.87</v>
      </c>
      <c r="E5" s="222">
        <v>10.530000000000001</v>
      </c>
      <c r="F5" s="222">
        <v>17.96</v>
      </c>
      <c r="G5" s="222">
        <v>34.340000000000003</v>
      </c>
      <c r="H5" s="222">
        <v>51.33</v>
      </c>
      <c r="I5" s="222">
        <v>68.41</v>
      </c>
      <c r="J5" s="222">
        <v>86.44</v>
      </c>
      <c r="K5" s="222">
        <v>104.15009999999999</v>
      </c>
      <c r="L5" s="222">
        <v>127.39009999999999</v>
      </c>
      <c r="M5" s="222">
        <v>143.040166</v>
      </c>
      <c r="N5" s="222">
        <v>181.25131299999998</v>
      </c>
      <c r="O5" s="222">
        <v>216.154313</v>
      </c>
      <c r="P5" s="222">
        <v>261.67672499999998</v>
      </c>
      <c r="Q5" s="222">
        <v>310.013937</v>
      </c>
      <c r="R5" s="222">
        <v>365.60872499999999</v>
      </c>
      <c r="S5" s="222">
        <v>427.18954600000001</v>
      </c>
      <c r="T5" s="222">
        <v>488.12429700000001</v>
      </c>
      <c r="U5" s="222">
        <v>554.72024899999997</v>
      </c>
      <c r="V5" s="222">
        <v>628.37888399999997</v>
      </c>
      <c r="W5" s="222">
        <v>672.90471700000001</v>
      </c>
      <c r="X5" s="222">
        <v>825.46499599999993</v>
      </c>
      <c r="Y5" s="222">
        <v>916.99944399999993</v>
      </c>
      <c r="Z5" s="222">
        <v>1058.2791649999999</v>
      </c>
      <c r="AA5" s="222">
        <v>1465.1</v>
      </c>
      <c r="AB5" s="222">
        <v>1601.626</v>
      </c>
      <c r="AC5" s="222">
        <v>1656.2</v>
      </c>
      <c r="AD5" s="222">
        <v>1832.35</v>
      </c>
      <c r="AE5" s="222">
        <v>1786</v>
      </c>
      <c r="AF5" s="223">
        <v>1820.3119999999997</v>
      </c>
      <c r="AG5" s="217">
        <f>'2. Overall com progres Sept 13'!M16</f>
        <v>1823.4939669999999</v>
      </c>
    </row>
    <row r="6" spans="1:34" x14ac:dyDescent="0.25">
      <c r="A6" s="269"/>
      <c r="B6" s="196" t="s">
        <v>17</v>
      </c>
      <c r="C6" s="224">
        <f>SUM(C4:C5)</f>
        <v>0.66274999999999995</v>
      </c>
      <c r="D6" s="224">
        <f t="shared" ref="D6:AG6" si="0">SUM(D4:D5)</f>
        <v>6.3900000000000006</v>
      </c>
      <c r="E6" s="224">
        <f t="shared" si="0"/>
        <v>11.91</v>
      </c>
      <c r="F6" s="224">
        <f t="shared" si="0"/>
        <v>20.080000000000002</v>
      </c>
      <c r="G6" s="224">
        <f t="shared" si="0"/>
        <v>37.691166000000003</v>
      </c>
      <c r="H6" s="224">
        <f t="shared" si="0"/>
        <v>56.15</v>
      </c>
      <c r="I6" s="224">
        <f t="shared" si="0"/>
        <v>76.05</v>
      </c>
      <c r="J6" s="224">
        <f t="shared" si="0"/>
        <v>96.846000000000004</v>
      </c>
      <c r="K6" s="224">
        <f t="shared" si="0"/>
        <v>117.8111</v>
      </c>
      <c r="L6" s="224">
        <f t="shared" si="0"/>
        <v>145.17769999999999</v>
      </c>
      <c r="M6" s="224">
        <f t="shared" si="0"/>
        <v>166.45100500000001</v>
      </c>
      <c r="N6" s="224">
        <f t="shared" si="0"/>
        <v>215.14848999999998</v>
      </c>
      <c r="O6" s="224">
        <f t="shared" si="0"/>
        <v>266.27649000000002</v>
      </c>
      <c r="P6" s="224">
        <f t="shared" si="0"/>
        <v>329.52108399999997</v>
      </c>
      <c r="Q6" s="224">
        <f t="shared" si="0"/>
        <v>396.61565400000001</v>
      </c>
      <c r="R6" s="224">
        <f t="shared" si="0"/>
        <v>478.70807200000002</v>
      </c>
      <c r="S6" s="224">
        <f t="shared" si="0"/>
        <v>558.59340599999996</v>
      </c>
      <c r="T6" s="224">
        <f t="shared" si="0"/>
        <v>640.56100900000001</v>
      </c>
      <c r="U6" s="224">
        <f t="shared" si="0"/>
        <v>741.87034599999993</v>
      </c>
      <c r="V6" s="224">
        <f t="shared" si="0"/>
        <v>842.87134999999989</v>
      </c>
      <c r="W6" s="224">
        <f t="shared" si="0"/>
        <v>905.59279199999992</v>
      </c>
      <c r="X6" s="224">
        <f t="shared" si="0"/>
        <v>1081.2354679999999</v>
      </c>
      <c r="Y6" s="224">
        <f t="shared" si="0"/>
        <v>1203.6667109999999</v>
      </c>
      <c r="Z6" s="224">
        <f t="shared" si="0"/>
        <v>1385.1805989999998</v>
      </c>
      <c r="AA6" s="224">
        <f t="shared" si="0"/>
        <v>1870.75</v>
      </c>
      <c r="AB6" s="224">
        <f t="shared" si="0"/>
        <v>2040.623</v>
      </c>
      <c r="AC6" s="224">
        <f t="shared" si="0"/>
        <v>2130.66</v>
      </c>
      <c r="AD6" s="224">
        <f t="shared" si="0"/>
        <v>2356.6799999999998</v>
      </c>
      <c r="AE6" s="224">
        <f t="shared" si="0"/>
        <v>2380</v>
      </c>
      <c r="AF6" s="224">
        <f t="shared" si="0"/>
        <v>2568.5019999999995</v>
      </c>
      <c r="AG6" s="224">
        <f t="shared" si="0"/>
        <v>2511.9322699999998</v>
      </c>
    </row>
    <row r="7" spans="1:34" ht="29.25" x14ac:dyDescent="0.25">
      <c r="A7" s="225" t="s">
        <v>223</v>
      </c>
      <c r="B7" s="195" t="s">
        <v>290</v>
      </c>
      <c r="C7" s="226">
        <v>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0</v>
      </c>
      <c r="L7" s="226">
        <v>0</v>
      </c>
      <c r="M7" s="226">
        <v>0</v>
      </c>
      <c r="N7" s="226">
        <v>0</v>
      </c>
      <c r="O7" s="226">
        <v>0</v>
      </c>
      <c r="P7" s="226">
        <v>0</v>
      </c>
      <c r="Q7" s="226">
        <v>0</v>
      </c>
      <c r="R7" s="226">
        <v>0</v>
      </c>
      <c r="S7" s="226">
        <v>0</v>
      </c>
      <c r="T7" s="226">
        <v>0</v>
      </c>
      <c r="U7" s="226">
        <v>0</v>
      </c>
      <c r="V7" s="226">
        <v>0</v>
      </c>
      <c r="W7" s="226">
        <v>0</v>
      </c>
      <c r="X7" s="226">
        <v>0</v>
      </c>
      <c r="Y7" s="226">
        <v>0</v>
      </c>
      <c r="Z7" s="226">
        <v>0</v>
      </c>
      <c r="AA7" s="226">
        <v>0</v>
      </c>
      <c r="AB7" s="226">
        <v>0</v>
      </c>
      <c r="AC7" s="226">
        <v>0</v>
      </c>
      <c r="AD7" s="226">
        <v>0</v>
      </c>
      <c r="AE7" s="226">
        <v>1106</v>
      </c>
      <c r="AF7" s="223">
        <v>1652.9050830000001</v>
      </c>
      <c r="AG7" s="217">
        <f>'2. Overall com progres Sept 13'!$M$24</f>
        <v>1848.0620830000003</v>
      </c>
    </row>
    <row r="8" spans="1:34" x14ac:dyDescent="0.25">
      <c r="A8" s="269" t="s">
        <v>22</v>
      </c>
      <c r="B8" s="199" t="s">
        <v>19</v>
      </c>
      <c r="C8" s="222">
        <v>0</v>
      </c>
      <c r="D8" s="222">
        <v>0</v>
      </c>
      <c r="E8" s="222">
        <v>0</v>
      </c>
      <c r="F8" s="222">
        <v>0</v>
      </c>
      <c r="G8" s="222">
        <v>0.72933599999999998</v>
      </c>
      <c r="H8" s="222">
        <v>2.6786989999999999</v>
      </c>
      <c r="I8" s="222">
        <v>3.9</v>
      </c>
      <c r="J8" s="222">
        <v>6.08</v>
      </c>
      <c r="K8" s="222">
        <v>8.0981000000000005</v>
      </c>
      <c r="L8" s="222">
        <v>11.086100000000002</v>
      </c>
      <c r="M8" s="222">
        <v>16.658100000000001</v>
      </c>
      <c r="N8" s="222">
        <v>27.8354</v>
      </c>
      <c r="O8" s="222">
        <v>51.955740000000006</v>
      </c>
      <c r="P8" s="222">
        <v>89.685465000000008</v>
      </c>
      <c r="Q8" s="222">
        <v>171.398079</v>
      </c>
      <c r="R8" s="222">
        <v>257.79349400000001</v>
      </c>
      <c r="S8" s="222">
        <v>393.65334400000006</v>
      </c>
      <c r="T8" s="222">
        <v>593.8265100000001</v>
      </c>
      <c r="U8" s="222">
        <v>837.80627000000004</v>
      </c>
      <c r="V8" s="222">
        <v>1129.6137100000001</v>
      </c>
      <c r="W8" s="222">
        <v>1564.6495610000002</v>
      </c>
      <c r="X8" s="222">
        <v>2141.8754820000004</v>
      </c>
      <c r="Y8" s="222">
        <v>2963.9566730000006</v>
      </c>
      <c r="Z8" s="222">
        <v>4199.2255530000002</v>
      </c>
      <c r="AA8" s="222">
        <v>8062.3</v>
      </c>
      <c r="AB8" s="222">
        <v>12289.19</v>
      </c>
      <c r="AC8" s="222">
        <v>16292.39</v>
      </c>
      <c r="AD8" s="222">
        <v>18466.13</v>
      </c>
      <c r="AE8" s="222">
        <v>26846</v>
      </c>
      <c r="AF8" s="223">
        <v>34781.01571</v>
      </c>
      <c r="AG8" s="217">
        <f>'2. Overall com progres Sept 13'!$M$25</f>
        <v>42363.272210000003</v>
      </c>
    </row>
    <row r="9" spans="1:34" x14ac:dyDescent="0.25">
      <c r="A9" s="269"/>
      <c r="B9" s="201" t="s">
        <v>20</v>
      </c>
      <c r="C9" s="222">
        <v>0.71</v>
      </c>
      <c r="D9" s="222">
        <v>3.52</v>
      </c>
      <c r="E9" s="222">
        <v>8.57</v>
      </c>
      <c r="F9" s="222">
        <v>24.75</v>
      </c>
      <c r="G9" s="222">
        <v>50.017663999999996</v>
      </c>
      <c r="H9" s="222">
        <v>82.621300999999988</v>
      </c>
      <c r="I9" s="222">
        <v>111.5</v>
      </c>
      <c r="J9" s="222">
        <v>123.37</v>
      </c>
      <c r="K9" s="222">
        <v>132.99956500000002</v>
      </c>
      <c r="L9" s="222">
        <v>144.87455300000002</v>
      </c>
      <c r="M9" s="222">
        <v>153.21655300000003</v>
      </c>
      <c r="N9" s="222">
        <v>328.99442700000003</v>
      </c>
      <c r="O9" s="222">
        <v>441.10692700000004</v>
      </c>
      <c r="P9" s="222">
        <v>619.586547</v>
      </c>
      <c r="Q9" s="222">
        <v>941.10618299999999</v>
      </c>
      <c r="R9" s="222">
        <v>1624.0987719999998</v>
      </c>
      <c r="S9" s="222">
        <v>2801.8091079999999</v>
      </c>
      <c r="T9" s="222">
        <v>3773.813615</v>
      </c>
      <c r="U9" s="222">
        <v>4692.3594059999996</v>
      </c>
      <c r="V9" s="222">
        <v>5493.9082699999999</v>
      </c>
      <c r="W9" s="222">
        <v>6546.9565199999997</v>
      </c>
      <c r="X9" s="222">
        <v>8081.4465309999996</v>
      </c>
      <c r="Y9" s="222">
        <v>9857.6422309999998</v>
      </c>
      <c r="Z9" s="222">
        <v>12699.101413</v>
      </c>
      <c r="AA9" s="222">
        <v>19795.93</v>
      </c>
      <c r="AB9" s="222">
        <v>28557.16</v>
      </c>
      <c r="AC9" s="222">
        <v>35616.32</v>
      </c>
      <c r="AD9" s="222">
        <v>43669.73</v>
      </c>
      <c r="AE9" s="222">
        <v>46277</v>
      </c>
      <c r="AF9" s="223">
        <v>50357.762002000003</v>
      </c>
      <c r="AG9" s="217">
        <f>'2. Overall com progres Sept 13'!$M$26</f>
        <v>54344.083702000004</v>
      </c>
    </row>
    <row r="10" spans="1:34" x14ac:dyDescent="0.25">
      <c r="A10" s="269"/>
      <c r="B10" s="196" t="s">
        <v>17</v>
      </c>
      <c r="C10" s="224">
        <f>SUM(C8:C9)</f>
        <v>0.71</v>
      </c>
      <c r="D10" s="224">
        <f t="shared" ref="D10:AG10" si="1">SUM(D8:D9)</f>
        <v>3.52</v>
      </c>
      <c r="E10" s="224">
        <f t="shared" si="1"/>
        <v>8.57</v>
      </c>
      <c r="F10" s="224">
        <f t="shared" si="1"/>
        <v>24.75</v>
      </c>
      <c r="G10" s="224">
        <f t="shared" si="1"/>
        <v>50.747</v>
      </c>
      <c r="H10" s="224">
        <f t="shared" si="1"/>
        <v>85.299999999999983</v>
      </c>
      <c r="I10" s="224">
        <f t="shared" si="1"/>
        <v>115.4</v>
      </c>
      <c r="J10" s="224">
        <f t="shared" si="1"/>
        <v>129.45000000000002</v>
      </c>
      <c r="K10" s="224">
        <f t="shared" si="1"/>
        <v>141.09766500000001</v>
      </c>
      <c r="L10" s="224">
        <f t="shared" si="1"/>
        <v>155.96065300000004</v>
      </c>
      <c r="M10" s="224">
        <f t="shared" si="1"/>
        <v>169.87465300000002</v>
      </c>
      <c r="N10" s="224">
        <f t="shared" si="1"/>
        <v>356.82982700000002</v>
      </c>
      <c r="O10" s="224">
        <f t="shared" si="1"/>
        <v>493.06266700000003</v>
      </c>
      <c r="P10" s="224">
        <f t="shared" si="1"/>
        <v>709.27201200000002</v>
      </c>
      <c r="Q10" s="224">
        <f t="shared" si="1"/>
        <v>1112.5042619999999</v>
      </c>
      <c r="R10" s="224">
        <f t="shared" si="1"/>
        <v>1881.8922659999998</v>
      </c>
      <c r="S10" s="224">
        <f t="shared" si="1"/>
        <v>3195.4624519999998</v>
      </c>
      <c r="T10" s="224">
        <f t="shared" si="1"/>
        <v>4367.6401249999999</v>
      </c>
      <c r="U10" s="224">
        <f t="shared" si="1"/>
        <v>5530.1656759999996</v>
      </c>
      <c r="V10" s="224">
        <f t="shared" si="1"/>
        <v>6623.5219799999995</v>
      </c>
      <c r="W10" s="224">
        <f t="shared" si="1"/>
        <v>8111.6060809999999</v>
      </c>
      <c r="X10" s="224">
        <f t="shared" si="1"/>
        <v>10223.322013000001</v>
      </c>
      <c r="Y10" s="224">
        <f t="shared" si="1"/>
        <v>12821.598904</v>
      </c>
      <c r="Z10" s="224">
        <f t="shared" si="1"/>
        <v>16898.326966000001</v>
      </c>
      <c r="AA10" s="224">
        <f t="shared" si="1"/>
        <v>27858.23</v>
      </c>
      <c r="AB10" s="224">
        <f t="shared" si="1"/>
        <v>40846.35</v>
      </c>
      <c r="AC10" s="224">
        <f t="shared" si="1"/>
        <v>51908.71</v>
      </c>
      <c r="AD10" s="224">
        <f t="shared" si="1"/>
        <v>62135.86</v>
      </c>
      <c r="AE10" s="224">
        <f t="shared" si="1"/>
        <v>73123</v>
      </c>
      <c r="AF10" s="224">
        <f t="shared" si="1"/>
        <v>85138.77771200001</v>
      </c>
      <c r="AG10" s="224">
        <f t="shared" si="1"/>
        <v>96707.355911999999</v>
      </c>
    </row>
    <row r="11" spans="1:34" x14ac:dyDescent="0.25">
      <c r="A11" s="271" t="s">
        <v>298</v>
      </c>
      <c r="B11" s="271"/>
      <c r="C11" s="222">
        <v>9.5</v>
      </c>
      <c r="D11" s="222">
        <v>28.82</v>
      </c>
      <c r="E11" s="222">
        <v>47.5</v>
      </c>
      <c r="F11" s="222">
        <v>65.12</v>
      </c>
      <c r="G11" s="222">
        <v>90.87</v>
      </c>
      <c r="H11" s="222">
        <v>124.28</v>
      </c>
      <c r="I11" s="222">
        <v>151</v>
      </c>
      <c r="J11" s="222">
        <v>189.054</v>
      </c>
      <c r="K11" s="222">
        <v>223.26499999999999</v>
      </c>
      <c r="L11" s="222">
        <v>252.05999999999997</v>
      </c>
      <c r="M11" s="222">
        <v>278.82417199999998</v>
      </c>
      <c r="N11" s="222">
        <v>306.35615199999995</v>
      </c>
      <c r="O11" s="222">
        <v>369.96915199999995</v>
      </c>
      <c r="P11" s="222">
        <v>462.86128099999996</v>
      </c>
      <c r="Q11" s="222">
        <v>610.54608699999994</v>
      </c>
      <c r="R11" s="222">
        <v>822.72373299999992</v>
      </c>
      <c r="S11" s="222">
        <v>1052.7613690000001</v>
      </c>
      <c r="T11" s="222">
        <v>1328.491342</v>
      </c>
      <c r="U11" s="222">
        <v>1636.4943720000001</v>
      </c>
      <c r="V11" s="222">
        <v>2310.2607330000001</v>
      </c>
      <c r="W11" s="222">
        <v>2775.4692789999999</v>
      </c>
      <c r="X11" s="222">
        <v>3825.75</v>
      </c>
      <c r="Y11" s="222">
        <v>4412.9717760000003</v>
      </c>
      <c r="Z11" s="222">
        <v>5698.9876720000002</v>
      </c>
      <c r="AA11" s="222">
        <v>7761.45</v>
      </c>
      <c r="AB11" s="222">
        <v>9194.25</v>
      </c>
      <c r="AC11" s="222">
        <v>10955.06</v>
      </c>
      <c r="AD11" s="222">
        <v>12171.84</v>
      </c>
      <c r="AE11" s="222">
        <v>16365</v>
      </c>
      <c r="AF11" s="223">
        <v>17467.013999999999</v>
      </c>
      <c r="AG11" s="217">
        <f>'2. Overall com progres Sept 13'!$M$42</f>
        <v>18637.813962</v>
      </c>
    </row>
    <row r="12" spans="1:34" x14ac:dyDescent="0.25">
      <c r="A12" s="272" t="s">
        <v>0</v>
      </c>
      <c r="B12" s="272"/>
      <c r="C12" s="185">
        <v>30651</v>
      </c>
      <c r="D12" s="185">
        <v>31017</v>
      </c>
      <c r="E12" s="185">
        <v>31382</v>
      </c>
      <c r="F12" s="185">
        <v>31747</v>
      </c>
      <c r="G12" s="185">
        <v>32112</v>
      </c>
      <c r="H12" s="185">
        <v>32478</v>
      </c>
      <c r="I12" s="185">
        <v>32843</v>
      </c>
      <c r="J12" s="185">
        <v>33208</v>
      </c>
      <c r="K12" s="185">
        <v>33573</v>
      </c>
      <c r="L12" s="185">
        <v>33939</v>
      </c>
      <c r="M12" s="185">
        <v>34304</v>
      </c>
      <c r="N12" s="185">
        <v>34669</v>
      </c>
      <c r="O12" s="185">
        <v>35034</v>
      </c>
      <c r="P12" s="185">
        <v>35400</v>
      </c>
      <c r="Q12" s="185">
        <v>35765</v>
      </c>
      <c r="R12" s="185">
        <v>36130</v>
      </c>
      <c r="S12" s="185">
        <v>36495</v>
      </c>
      <c r="T12" s="185">
        <v>36861</v>
      </c>
      <c r="U12" s="185">
        <v>37226</v>
      </c>
      <c r="V12" s="185">
        <v>37591</v>
      </c>
      <c r="W12" s="185">
        <v>37956</v>
      </c>
      <c r="X12" s="185">
        <v>38322</v>
      </c>
      <c r="Y12" s="185">
        <v>38687</v>
      </c>
      <c r="Z12" s="185">
        <v>39052</v>
      </c>
      <c r="AA12" s="185">
        <v>39417</v>
      </c>
      <c r="AB12" s="185">
        <v>39783</v>
      </c>
      <c r="AC12" s="185">
        <v>40148</v>
      </c>
      <c r="AD12" s="185">
        <v>40513</v>
      </c>
      <c r="AE12" s="185">
        <v>40878</v>
      </c>
      <c r="AF12" s="185">
        <v>41244</v>
      </c>
      <c r="AG12" s="185">
        <v>41609</v>
      </c>
    </row>
    <row r="13" spans="1:34" x14ac:dyDescent="0.25">
      <c r="A13" s="269" t="s">
        <v>288</v>
      </c>
      <c r="B13" s="199" t="s">
        <v>19</v>
      </c>
      <c r="C13" s="222">
        <v>0</v>
      </c>
      <c r="D13" s="222">
        <f t="shared" ref="D13:AG14" si="2">D4-C4</f>
        <v>0.52</v>
      </c>
      <c r="E13" s="222">
        <f t="shared" si="2"/>
        <v>0.85999999999999988</v>
      </c>
      <c r="F13" s="222">
        <f t="shared" si="2"/>
        <v>0.74000000000000021</v>
      </c>
      <c r="G13" s="222">
        <f t="shared" si="2"/>
        <v>1.231166</v>
      </c>
      <c r="H13" s="222">
        <f t="shared" si="2"/>
        <v>1.4688340000000002</v>
      </c>
      <c r="I13" s="222">
        <f t="shared" si="2"/>
        <v>2.8200000000000003</v>
      </c>
      <c r="J13" s="222">
        <f t="shared" si="2"/>
        <v>2.7659999999999982</v>
      </c>
      <c r="K13" s="222">
        <f t="shared" si="2"/>
        <v>3.254999999999999</v>
      </c>
      <c r="L13" s="222">
        <f t="shared" si="2"/>
        <v>4.1265999999999998</v>
      </c>
      <c r="M13" s="222">
        <f t="shared" si="2"/>
        <v>5.6232389999999981</v>
      </c>
      <c r="N13" s="222">
        <f t="shared" si="2"/>
        <v>10.486338000000003</v>
      </c>
      <c r="O13" s="222">
        <f t="shared" si="2"/>
        <v>16.225000000000001</v>
      </c>
      <c r="P13" s="222">
        <f t="shared" si="2"/>
        <v>17.722181999999997</v>
      </c>
      <c r="Q13" s="222">
        <f t="shared" si="2"/>
        <v>18.757357999999996</v>
      </c>
      <c r="R13" s="222">
        <f t="shared" si="2"/>
        <v>26.497630000000001</v>
      </c>
      <c r="S13" s="222">
        <f t="shared" si="2"/>
        <v>18.304513000000014</v>
      </c>
      <c r="T13" s="222">
        <f t="shared" si="2"/>
        <v>21.032851999999991</v>
      </c>
      <c r="U13" s="222">
        <f t="shared" si="2"/>
        <v>34.713384999999988</v>
      </c>
      <c r="V13" s="222">
        <f t="shared" si="2"/>
        <v>27.342368999999991</v>
      </c>
      <c r="W13" s="222">
        <f t="shared" si="2"/>
        <v>18.19560899999999</v>
      </c>
      <c r="X13" s="222">
        <f t="shared" si="2"/>
        <v>23.082397000000014</v>
      </c>
      <c r="Y13" s="222">
        <f t="shared" si="2"/>
        <v>30.896794999999997</v>
      </c>
      <c r="Z13" s="222">
        <f t="shared" si="2"/>
        <v>40.234167000000014</v>
      </c>
      <c r="AA13" s="222">
        <f t="shared" si="2"/>
        <v>78.748565999999983</v>
      </c>
      <c r="AB13" s="222">
        <f t="shared" si="2"/>
        <v>33.347000000000037</v>
      </c>
      <c r="AC13" s="222">
        <f t="shared" si="2"/>
        <v>35.462999999999965</v>
      </c>
      <c r="AD13" s="222">
        <f t="shared" si="2"/>
        <v>49.870000000000061</v>
      </c>
      <c r="AE13" s="222">
        <f t="shared" si="2"/>
        <v>69.669999999999959</v>
      </c>
      <c r="AF13" s="222">
        <f>AF4-AE4</f>
        <v>154.18999999999994</v>
      </c>
      <c r="AG13" s="222">
        <f t="shared" si="2"/>
        <v>-59.751697000000036</v>
      </c>
      <c r="AH13" s="215">
        <f>SUM(C13:AG13)</f>
        <v>688.43830299999991</v>
      </c>
    </row>
    <row r="14" spans="1:34" x14ac:dyDescent="0.25">
      <c r="A14" s="269"/>
      <c r="B14" s="201" t="s">
        <v>20</v>
      </c>
      <c r="C14" s="222">
        <v>0.66274999999999995</v>
      </c>
      <c r="D14" s="222">
        <f t="shared" si="2"/>
        <v>5.2072500000000002</v>
      </c>
      <c r="E14" s="222">
        <f t="shared" si="2"/>
        <v>4.660000000000001</v>
      </c>
      <c r="F14" s="222">
        <f t="shared" si="2"/>
        <v>7.43</v>
      </c>
      <c r="G14" s="222">
        <f t="shared" si="2"/>
        <v>16.380000000000003</v>
      </c>
      <c r="H14" s="222">
        <f t="shared" si="2"/>
        <v>16.989999999999995</v>
      </c>
      <c r="I14" s="222">
        <f t="shared" si="2"/>
        <v>17.079999999999998</v>
      </c>
      <c r="J14" s="222">
        <f t="shared" si="2"/>
        <v>18.03</v>
      </c>
      <c r="K14" s="222">
        <f t="shared" si="2"/>
        <v>17.710099999999997</v>
      </c>
      <c r="L14" s="222">
        <f t="shared" si="2"/>
        <v>23.239999999999995</v>
      </c>
      <c r="M14" s="222">
        <f t="shared" si="2"/>
        <v>15.65006600000001</v>
      </c>
      <c r="N14" s="222">
        <f t="shared" si="2"/>
        <v>38.211146999999983</v>
      </c>
      <c r="O14" s="222">
        <f t="shared" si="2"/>
        <v>34.90300000000002</v>
      </c>
      <c r="P14" s="222">
        <f t="shared" si="2"/>
        <v>45.522411999999974</v>
      </c>
      <c r="Q14" s="222">
        <f t="shared" si="2"/>
        <v>48.337212000000022</v>
      </c>
      <c r="R14" s="222">
        <f t="shared" si="2"/>
        <v>55.594787999999994</v>
      </c>
      <c r="S14" s="222">
        <f t="shared" si="2"/>
        <v>61.580821000000014</v>
      </c>
      <c r="T14" s="222">
        <f t="shared" si="2"/>
        <v>60.934751000000006</v>
      </c>
      <c r="U14" s="222">
        <f t="shared" si="2"/>
        <v>66.595951999999954</v>
      </c>
      <c r="V14" s="222">
        <f t="shared" si="2"/>
        <v>73.658635000000004</v>
      </c>
      <c r="W14" s="222">
        <f t="shared" si="2"/>
        <v>44.525833000000034</v>
      </c>
      <c r="X14" s="222">
        <f t="shared" si="2"/>
        <v>152.56027899999992</v>
      </c>
      <c r="Y14" s="222">
        <f t="shared" si="2"/>
        <v>91.534447999999998</v>
      </c>
      <c r="Z14" s="222">
        <f t="shared" si="2"/>
        <v>141.279721</v>
      </c>
      <c r="AA14" s="222">
        <f t="shared" si="2"/>
        <v>406.82083499999999</v>
      </c>
      <c r="AB14" s="222">
        <f t="shared" si="2"/>
        <v>136.52600000000007</v>
      </c>
      <c r="AC14" s="222">
        <f t="shared" si="2"/>
        <v>54.574000000000069</v>
      </c>
      <c r="AD14" s="222">
        <f t="shared" si="2"/>
        <v>176.14999999999986</v>
      </c>
      <c r="AE14" s="222">
        <f t="shared" si="2"/>
        <v>-46.349999999999909</v>
      </c>
      <c r="AF14" s="222">
        <f t="shared" si="2"/>
        <v>34.311999999999671</v>
      </c>
      <c r="AG14" s="222">
        <f t="shared" si="2"/>
        <v>3.1819670000002134</v>
      </c>
      <c r="AH14" s="215">
        <f>SUM(C14:AG14)</f>
        <v>1823.4939669999999</v>
      </c>
    </row>
    <row r="15" spans="1:34" x14ac:dyDescent="0.25">
      <c r="A15" s="269"/>
      <c r="B15" s="196" t="s">
        <v>17</v>
      </c>
      <c r="C15" s="224">
        <f>SUM(C13:C14)</f>
        <v>0.66274999999999995</v>
      </c>
      <c r="D15" s="224">
        <f t="shared" ref="D15:AH15" si="3">SUM(D13:D14)</f>
        <v>5.7272499999999997</v>
      </c>
      <c r="E15" s="224">
        <f t="shared" si="3"/>
        <v>5.5200000000000014</v>
      </c>
      <c r="F15" s="224">
        <f t="shared" si="3"/>
        <v>8.17</v>
      </c>
      <c r="G15" s="224">
        <f t="shared" si="3"/>
        <v>17.611166000000004</v>
      </c>
      <c r="H15" s="224">
        <f t="shared" si="3"/>
        <v>18.458833999999996</v>
      </c>
      <c r="I15" s="224">
        <f t="shared" si="3"/>
        <v>19.899999999999999</v>
      </c>
      <c r="J15" s="224">
        <f t="shared" si="3"/>
        <v>20.795999999999999</v>
      </c>
      <c r="K15" s="224">
        <f t="shared" si="3"/>
        <v>20.965099999999996</v>
      </c>
      <c r="L15" s="224">
        <f t="shared" si="3"/>
        <v>27.366599999999995</v>
      </c>
      <c r="M15" s="224">
        <f t="shared" si="3"/>
        <v>21.273305000000008</v>
      </c>
      <c r="N15" s="224">
        <f t="shared" si="3"/>
        <v>48.697484999999986</v>
      </c>
      <c r="O15" s="224">
        <f t="shared" si="3"/>
        <v>51.128000000000021</v>
      </c>
      <c r="P15" s="224">
        <f t="shared" si="3"/>
        <v>63.244593999999971</v>
      </c>
      <c r="Q15" s="224">
        <f t="shared" si="3"/>
        <v>67.094570000000019</v>
      </c>
      <c r="R15" s="224">
        <f t="shared" si="3"/>
        <v>82.092417999999995</v>
      </c>
      <c r="S15" s="224">
        <f t="shared" si="3"/>
        <v>79.885334000000029</v>
      </c>
      <c r="T15" s="224">
        <f t="shared" si="3"/>
        <v>81.967602999999997</v>
      </c>
      <c r="U15" s="224">
        <f t="shared" si="3"/>
        <v>101.30933699999994</v>
      </c>
      <c r="V15" s="224">
        <f t="shared" si="3"/>
        <v>101.00100399999999</v>
      </c>
      <c r="W15" s="224">
        <f t="shared" si="3"/>
        <v>62.721442000000025</v>
      </c>
      <c r="X15" s="224">
        <f t="shared" si="3"/>
        <v>175.64267599999994</v>
      </c>
      <c r="Y15" s="224">
        <f t="shared" si="3"/>
        <v>122.43124299999999</v>
      </c>
      <c r="Z15" s="224">
        <f t="shared" si="3"/>
        <v>181.51388800000001</v>
      </c>
      <c r="AA15" s="224">
        <f t="shared" si="3"/>
        <v>485.56940099999997</v>
      </c>
      <c r="AB15" s="224">
        <f t="shared" si="3"/>
        <v>169.8730000000001</v>
      </c>
      <c r="AC15" s="224">
        <f t="shared" si="3"/>
        <v>90.037000000000035</v>
      </c>
      <c r="AD15" s="224">
        <f t="shared" si="3"/>
        <v>226.01999999999992</v>
      </c>
      <c r="AE15" s="224">
        <f t="shared" si="3"/>
        <v>23.32000000000005</v>
      </c>
      <c r="AF15" s="224">
        <f t="shared" si="3"/>
        <v>188.50199999999961</v>
      </c>
      <c r="AG15" s="224">
        <f t="shared" si="3"/>
        <v>-56.569729999999822</v>
      </c>
      <c r="AH15" s="224">
        <f t="shared" si="3"/>
        <v>2511.9322699999998</v>
      </c>
    </row>
    <row r="16" spans="1:34" x14ac:dyDescent="0.25">
      <c r="A16" s="269" t="s">
        <v>304</v>
      </c>
      <c r="B16" s="199" t="s">
        <v>19</v>
      </c>
      <c r="C16" s="222">
        <f>C13/C$2</f>
        <v>0</v>
      </c>
      <c r="D16" s="222">
        <f t="shared" ref="D16:AG17" si="4">D13/D$2</f>
        <v>3.510839819216055E-2</v>
      </c>
      <c r="E16" s="222">
        <f t="shared" si="4"/>
        <v>5.7742744791973694E-2</v>
      </c>
      <c r="F16" s="222">
        <f t="shared" si="4"/>
        <v>4.9195991244709115E-2</v>
      </c>
      <c r="G16" s="222">
        <f t="shared" si="4"/>
        <v>7.6283450910287084E-2</v>
      </c>
      <c r="H16" s="222">
        <f t="shared" si="4"/>
        <v>7.4020507055949356E-2</v>
      </c>
      <c r="I16" s="222">
        <f t="shared" si="4"/>
        <v>0.12957476457023429</v>
      </c>
      <c r="J16" s="222">
        <f t="shared" si="4"/>
        <v>0.1353002778351583</v>
      </c>
      <c r="K16" s="222">
        <f t="shared" si="4"/>
        <v>0.1239141852962095</v>
      </c>
      <c r="L16" s="222">
        <f t="shared" si="4"/>
        <v>0.15877115603723413</v>
      </c>
      <c r="M16" s="222">
        <f t="shared" si="4"/>
        <v>0.19341760749802403</v>
      </c>
      <c r="N16" s="222">
        <f t="shared" si="4"/>
        <v>0.36498478240720078</v>
      </c>
      <c r="O16" s="222">
        <f t="shared" si="4"/>
        <v>0.54498557845558648</v>
      </c>
      <c r="P16" s="222">
        <f t="shared" si="4"/>
        <v>0.47443657220018159</v>
      </c>
      <c r="Q16" s="222">
        <f t="shared" si="4"/>
        <v>0.41262207447469607</v>
      </c>
      <c r="R16" s="222">
        <f t="shared" si="4"/>
        <v>0.59634206170378834</v>
      </c>
      <c r="S16" s="222">
        <f t="shared" si="4"/>
        <v>0.33735257088481235</v>
      </c>
      <c r="T16" s="222">
        <f t="shared" si="4"/>
        <v>0.37763432452103757</v>
      </c>
      <c r="U16" s="222">
        <f t="shared" si="4"/>
        <v>0.55648657641113319</v>
      </c>
      <c r="V16" s="222">
        <f t="shared" si="4"/>
        <v>0.45957828857217398</v>
      </c>
      <c r="W16" s="222">
        <f t="shared" si="4"/>
        <v>0.31472432991387567</v>
      </c>
      <c r="X16" s="222">
        <f t="shared" si="4"/>
        <v>0.39550887367720067</v>
      </c>
      <c r="Y16" s="222">
        <f t="shared" si="4"/>
        <v>0.51835924461687222</v>
      </c>
      <c r="Z16" s="222">
        <f t="shared" si="4"/>
        <v>0.66763303301255283</v>
      </c>
      <c r="AA16" s="222">
        <f t="shared" si="4"/>
        <v>1.2978788351102013</v>
      </c>
      <c r="AB16" s="222">
        <f t="shared" si="4"/>
        <v>0.47220478612622263</v>
      </c>
      <c r="AC16" s="222">
        <f t="shared" si="4"/>
        <v>0.43460592077801807</v>
      </c>
      <c r="AD16" s="222">
        <f t="shared" si="4"/>
        <v>0.58506794677859753</v>
      </c>
      <c r="AE16" s="222">
        <f t="shared" si="4"/>
        <v>0.80674833927316758</v>
      </c>
      <c r="AF16" s="222">
        <f t="shared" si="4"/>
        <v>1.6511027115242038</v>
      </c>
      <c r="AG16" s="222">
        <f t="shared" si="4"/>
        <v>-0.58803964674100839</v>
      </c>
      <c r="AH16" s="215">
        <f>SUM(C16:AG16)</f>
        <v>11.713546287132454</v>
      </c>
    </row>
    <row r="17" spans="1:34" x14ac:dyDescent="0.25">
      <c r="A17" s="269"/>
      <c r="B17" s="201" t="s">
        <v>20</v>
      </c>
      <c r="C17" s="222">
        <f>C14/C$2</f>
        <v>4.6383685708204864E-2</v>
      </c>
      <c r="D17" s="222">
        <f t="shared" si="4"/>
        <v>0.35157347401178468</v>
      </c>
      <c r="E17" s="222">
        <f t="shared" si="4"/>
        <v>0.31288510550069476</v>
      </c>
      <c r="F17" s="222">
        <f t="shared" si="4"/>
        <v>0.4939543445245792</v>
      </c>
      <c r="G17" s="222">
        <f t="shared" si="4"/>
        <v>1.0149101956279678</v>
      </c>
      <c r="H17" s="222">
        <f t="shared" si="4"/>
        <v>0.85619506008206447</v>
      </c>
      <c r="I17" s="222">
        <f t="shared" si="4"/>
        <v>0.7848003471133338</v>
      </c>
      <c r="J17" s="222">
        <f t="shared" si="4"/>
        <v>0.88194649651768098</v>
      </c>
      <c r="K17" s="222">
        <f t="shared" si="4"/>
        <v>0.67420356774635948</v>
      </c>
      <c r="L17" s="222">
        <f t="shared" si="4"/>
        <v>0.89416024482753864</v>
      </c>
      <c r="M17" s="222">
        <f t="shared" si="4"/>
        <v>0.53830155945820091</v>
      </c>
      <c r="N17" s="222">
        <f t="shared" si="4"/>
        <v>1.3299673511691643</v>
      </c>
      <c r="O17" s="222">
        <f t="shared" si="4"/>
        <v>1.1723655867386962</v>
      </c>
      <c r="P17" s="222">
        <f t="shared" si="4"/>
        <v>1.2186703142741906</v>
      </c>
      <c r="Q17" s="222">
        <f t="shared" si="4"/>
        <v>1.0633160965293291</v>
      </c>
      <c r="R17" s="222">
        <f t="shared" si="4"/>
        <v>1.2511877664494908</v>
      </c>
      <c r="S17" s="222">
        <f t="shared" si="4"/>
        <v>1.1349358642618588</v>
      </c>
      <c r="T17" s="222">
        <f t="shared" si="4"/>
        <v>1.0940529384099993</v>
      </c>
      <c r="U17" s="222">
        <f t="shared" si="4"/>
        <v>1.0675926110726495</v>
      </c>
      <c r="V17" s="222">
        <f t="shared" si="4"/>
        <v>1.2380752162280615</v>
      </c>
      <c r="W17" s="222">
        <f t="shared" si="4"/>
        <v>0.77015080697668048</v>
      </c>
      <c r="X17" s="222">
        <f t="shared" si="4"/>
        <v>2.6140675127964146</v>
      </c>
      <c r="Y17" s="222">
        <f t="shared" si="4"/>
        <v>1.535684439816569</v>
      </c>
      <c r="Z17" s="222">
        <f t="shared" si="4"/>
        <v>2.3443509749909128</v>
      </c>
      <c r="AA17" s="222">
        <f t="shared" si="4"/>
        <v>6.7049367150172552</v>
      </c>
      <c r="AB17" s="222">
        <f t="shared" si="4"/>
        <v>1.9332542846633469</v>
      </c>
      <c r="AC17" s="222">
        <f t="shared" si="4"/>
        <v>0.6688149203547249</v>
      </c>
      <c r="AD17" s="222">
        <f t="shared" si="4"/>
        <v>2.0665674518758723</v>
      </c>
      <c r="AE17" s="222">
        <f t="shared" si="4"/>
        <v>-0.53671286816867037</v>
      </c>
      <c r="AF17" s="222">
        <f t="shared" si="4"/>
        <v>0.3674209497231854</v>
      </c>
      <c r="AG17" s="222">
        <f t="shared" si="4"/>
        <v>3.1314972537460663E-2</v>
      </c>
      <c r="AH17" s="215">
        <f>SUM(C17:AG17)</f>
        <v>35.919327986835597</v>
      </c>
    </row>
    <row r="18" spans="1:34" x14ac:dyDescent="0.25">
      <c r="A18" s="269"/>
      <c r="B18" s="196" t="s">
        <v>17</v>
      </c>
      <c r="C18" s="224">
        <f>C17+C16</f>
        <v>4.6383685708204864E-2</v>
      </c>
      <c r="D18" s="224">
        <f t="shared" ref="D18:AH18" si="5">D17+D16</f>
        <v>0.38668187220394523</v>
      </c>
      <c r="E18" s="224">
        <f t="shared" si="5"/>
        <v>0.37062785029266843</v>
      </c>
      <c r="F18" s="224">
        <f t="shared" si="5"/>
        <v>0.54315033576928828</v>
      </c>
      <c r="G18" s="224">
        <f t="shared" si="5"/>
        <v>1.0911936465382548</v>
      </c>
      <c r="H18" s="224">
        <f t="shared" si="5"/>
        <v>0.93021556713801379</v>
      </c>
      <c r="I18" s="224">
        <f t="shared" si="5"/>
        <v>0.91437511168356811</v>
      </c>
      <c r="J18" s="224">
        <f t="shared" si="5"/>
        <v>1.0172467743528393</v>
      </c>
      <c r="K18" s="224">
        <f t="shared" si="5"/>
        <v>0.79811775304256893</v>
      </c>
      <c r="L18" s="224">
        <f t="shared" si="5"/>
        <v>1.0529314008647728</v>
      </c>
      <c r="M18" s="224">
        <f t="shared" si="5"/>
        <v>0.73171916695622496</v>
      </c>
      <c r="N18" s="224">
        <f t="shared" si="5"/>
        <v>1.6949521335763651</v>
      </c>
      <c r="O18" s="224">
        <f t="shared" si="5"/>
        <v>1.7173511651942825</v>
      </c>
      <c r="P18" s="224">
        <f t="shared" si="5"/>
        <v>1.6931068864743721</v>
      </c>
      <c r="Q18" s="224">
        <f t="shared" si="5"/>
        <v>1.4759381710040251</v>
      </c>
      <c r="R18" s="224">
        <f t="shared" si="5"/>
        <v>1.847529828153279</v>
      </c>
      <c r="S18" s="224">
        <f t="shared" si="5"/>
        <v>1.4722884351466712</v>
      </c>
      <c r="T18" s="224">
        <f t="shared" si="5"/>
        <v>1.4716872629310369</v>
      </c>
      <c r="U18" s="224">
        <f t="shared" si="5"/>
        <v>1.6240791874837828</v>
      </c>
      <c r="V18" s="224">
        <f t="shared" si="5"/>
        <v>1.6976535048002355</v>
      </c>
      <c r="W18" s="224">
        <f t="shared" si="5"/>
        <v>1.084875136890556</v>
      </c>
      <c r="X18" s="224">
        <f t="shared" si="5"/>
        <v>3.0095763864736154</v>
      </c>
      <c r="Y18" s="224">
        <f t="shared" si="5"/>
        <v>2.0540436844334411</v>
      </c>
      <c r="Z18" s="224">
        <f t="shared" si="5"/>
        <v>3.0119840080034654</v>
      </c>
      <c r="AA18" s="224">
        <f t="shared" si="5"/>
        <v>8.0028155501274565</v>
      </c>
      <c r="AB18" s="224">
        <f t="shared" si="5"/>
        <v>2.4054590707895693</v>
      </c>
      <c r="AC18" s="224">
        <f t="shared" si="5"/>
        <v>1.1034208411327429</v>
      </c>
      <c r="AD18" s="224">
        <f t="shared" si="5"/>
        <v>2.6516353986544701</v>
      </c>
      <c r="AE18" s="224">
        <f t="shared" si="5"/>
        <v>0.27003547110449722</v>
      </c>
      <c r="AF18" s="224">
        <f t="shared" si="5"/>
        <v>2.0185236612473894</v>
      </c>
      <c r="AG18" s="224">
        <f t="shared" si="5"/>
        <v>-0.55672467420354776</v>
      </c>
      <c r="AH18" s="224">
        <f t="shared" si="5"/>
        <v>47.632874273968049</v>
      </c>
    </row>
    <row r="19" spans="1:34" ht="29.25" x14ac:dyDescent="0.25">
      <c r="A19" s="225" t="s">
        <v>223</v>
      </c>
      <c r="B19" s="195" t="s">
        <v>290</v>
      </c>
      <c r="C19" s="226">
        <v>0</v>
      </c>
      <c r="D19" s="226">
        <f>D7-C7</f>
        <v>0</v>
      </c>
      <c r="E19" s="226">
        <f t="shared" ref="E19:AG19" si="6">E7-D7</f>
        <v>0</v>
      </c>
      <c r="F19" s="226">
        <f t="shared" si="6"/>
        <v>0</v>
      </c>
      <c r="G19" s="226">
        <f t="shared" si="6"/>
        <v>0</v>
      </c>
      <c r="H19" s="226">
        <f t="shared" si="6"/>
        <v>0</v>
      </c>
      <c r="I19" s="226">
        <f t="shared" si="6"/>
        <v>0</v>
      </c>
      <c r="J19" s="226">
        <f t="shared" si="6"/>
        <v>0</v>
      </c>
      <c r="K19" s="226">
        <f t="shared" si="6"/>
        <v>0</v>
      </c>
      <c r="L19" s="226">
        <f t="shared" si="6"/>
        <v>0</v>
      </c>
      <c r="M19" s="226">
        <f t="shared" si="6"/>
        <v>0</v>
      </c>
      <c r="N19" s="226">
        <f t="shared" si="6"/>
        <v>0</v>
      </c>
      <c r="O19" s="226">
        <f t="shared" si="6"/>
        <v>0</v>
      </c>
      <c r="P19" s="226">
        <f t="shared" si="6"/>
        <v>0</v>
      </c>
      <c r="Q19" s="226">
        <f t="shared" si="6"/>
        <v>0</v>
      </c>
      <c r="R19" s="226">
        <f t="shared" si="6"/>
        <v>0</v>
      </c>
      <c r="S19" s="226">
        <f t="shared" si="6"/>
        <v>0</v>
      </c>
      <c r="T19" s="226">
        <f t="shared" si="6"/>
        <v>0</v>
      </c>
      <c r="U19" s="226">
        <f t="shared" si="6"/>
        <v>0</v>
      </c>
      <c r="V19" s="226">
        <f t="shared" si="6"/>
        <v>0</v>
      </c>
      <c r="W19" s="226">
        <f t="shared" si="6"/>
        <v>0</v>
      </c>
      <c r="X19" s="226">
        <f t="shared" si="6"/>
        <v>0</v>
      </c>
      <c r="Y19" s="226">
        <f t="shared" si="6"/>
        <v>0</v>
      </c>
      <c r="Z19" s="226">
        <f t="shared" si="6"/>
        <v>0</v>
      </c>
      <c r="AA19" s="226">
        <f t="shared" si="6"/>
        <v>0</v>
      </c>
      <c r="AB19" s="226">
        <f t="shared" si="6"/>
        <v>0</v>
      </c>
      <c r="AC19" s="226">
        <f t="shared" si="6"/>
        <v>0</v>
      </c>
      <c r="AD19" s="226">
        <f t="shared" si="6"/>
        <v>0</v>
      </c>
      <c r="AE19" s="226">
        <f t="shared" si="6"/>
        <v>1106</v>
      </c>
      <c r="AF19" s="226">
        <f t="shared" si="6"/>
        <v>546.9050830000001</v>
      </c>
      <c r="AG19" s="226">
        <f t="shared" si="6"/>
        <v>195.15700000000015</v>
      </c>
      <c r="AH19" s="215">
        <f>SUM(C19:AG19)</f>
        <v>1848.0620830000003</v>
      </c>
    </row>
    <row r="20" spans="1:34" ht="29.25" x14ac:dyDescent="0.25">
      <c r="A20" s="225" t="s">
        <v>223</v>
      </c>
      <c r="B20" s="195" t="s">
        <v>305</v>
      </c>
      <c r="C20" s="226">
        <f>C19/C$2</f>
        <v>0</v>
      </c>
      <c r="D20" s="226">
        <f t="shared" ref="D20:AG20" si="7">D19/D$2</f>
        <v>0</v>
      </c>
      <c r="E20" s="226">
        <f t="shared" si="7"/>
        <v>0</v>
      </c>
      <c r="F20" s="226">
        <f t="shared" si="7"/>
        <v>0</v>
      </c>
      <c r="G20" s="226">
        <f t="shared" si="7"/>
        <v>0</v>
      </c>
      <c r="H20" s="226">
        <f t="shared" si="7"/>
        <v>0</v>
      </c>
      <c r="I20" s="226">
        <f t="shared" si="7"/>
        <v>0</v>
      </c>
      <c r="J20" s="226">
        <f t="shared" si="7"/>
        <v>0</v>
      </c>
      <c r="K20" s="226">
        <f t="shared" si="7"/>
        <v>0</v>
      </c>
      <c r="L20" s="226">
        <f t="shared" si="7"/>
        <v>0</v>
      </c>
      <c r="M20" s="226">
        <f t="shared" si="7"/>
        <v>0</v>
      </c>
      <c r="N20" s="226">
        <f t="shared" si="7"/>
        <v>0</v>
      </c>
      <c r="O20" s="226">
        <f t="shared" si="7"/>
        <v>0</v>
      </c>
      <c r="P20" s="226">
        <f t="shared" si="7"/>
        <v>0</v>
      </c>
      <c r="Q20" s="226">
        <f t="shared" si="7"/>
        <v>0</v>
      </c>
      <c r="R20" s="226">
        <f t="shared" si="7"/>
        <v>0</v>
      </c>
      <c r="S20" s="226">
        <f t="shared" si="7"/>
        <v>0</v>
      </c>
      <c r="T20" s="226">
        <f t="shared" si="7"/>
        <v>0</v>
      </c>
      <c r="U20" s="226">
        <f t="shared" si="7"/>
        <v>0</v>
      </c>
      <c r="V20" s="226">
        <f t="shared" si="7"/>
        <v>0</v>
      </c>
      <c r="W20" s="226">
        <f t="shared" si="7"/>
        <v>0</v>
      </c>
      <c r="X20" s="226">
        <f t="shared" si="7"/>
        <v>0</v>
      </c>
      <c r="Y20" s="226">
        <f t="shared" si="7"/>
        <v>0</v>
      </c>
      <c r="Z20" s="226">
        <f t="shared" si="7"/>
        <v>0</v>
      </c>
      <c r="AA20" s="226">
        <f t="shared" si="7"/>
        <v>0</v>
      </c>
      <c r="AB20" s="226">
        <f t="shared" si="7"/>
        <v>0</v>
      </c>
      <c r="AC20" s="226">
        <f t="shared" si="7"/>
        <v>0</v>
      </c>
      <c r="AD20" s="226">
        <f t="shared" si="7"/>
        <v>0</v>
      </c>
      <c r="AE20" s="226">
        <f t="shared" si="7"/>
        <v>12.806999615847909</v>
      </c>
      <c r="AF20" s="226">
        <f t="shared" si="7"/>
        <v>5.8563879984932248</v>
      </c>
      <c r="AG20" s="226">
        <f t="shared" si="7"/>
        <v>1.9206158000673186</v>
      </c>
      <c r="AH20" s="215">
        <f>SUM(C20:AG20)</f>
        <v>20.58400341440845</v>
      </c>
    </row>
    <row r="21" spans="1:34" x14ac:dyDescent="0.25">
      <c r="A21" s="269" t="s">
        <v>22</v>
      </c>
      <c r="B21" s="199" t="s">
        <v>19</v>
      </c>
      <c r="C21" s="222">
        <v>0</v>
      </c>
      <c r="D21" s="222">
        <f>D8-C8</f>
        <v>0</v>
      </c>
      <c r="E21" s="222">
        <f t="shared" ref="E21:AG21" si="8">E8-D8</f>
        <v>0</v>
      </c>
      <c r="F21" s="222">
        <f t="shared" si="8"/>
        <v>0</v>
      </c>
      <c r="G21" s="222">
        <f t="shared" si="8"/>
        <v>0.72933599999999998</v>
      </c>
      <c r="H21" s="222">
        <f t="shared" si="8"/>
        <v>1.949363</v>
      </c>
      <c r="I21" s="222">
        <f t="shared" si="8"/>
        <v>1.221301</v>
      </c>
      <c r="J21" s="222">
        <f t="shared" si="8"/>
        <v>2.1800000000000002</v>
      </c>
      <c r="K21" s="222">
        <f t="shared" si="8"/>
        <v>2.0181000000000004</v>
      </c>
      <c r="L21" s="222">
        <f t="shared" si="8"/>
        <v>2.9880000000000013</v>
      </c>
      <c r="M21" s="222">
        <f t="shared" si="8"/>
        <v>5.5719999999999992</v>
      </c>
      <c r="N21" s="222">
        <f t="shared" si="8"/>
        <v>11.177299999999999</v>
      </c>
      <c r="O21" s="222">
        <f t="shared" si="8"/>
        <v>24.120340000000006</v>
      </c>
      <c r="P21" s="222">
        <f t="shared" si="8"/>
        <v>37.729725000000002</v>
      </c>
      <c r="Q21" s="222">
        <f t="shared" si="8"/>
        <v>81.712613999999988</v>
      </c>
      <c r="R21" s="222">
        <f t="shared" si="8"/>
        <v>86.395415000000014</v>
      </c>
      <c r="S21" s="222">
        <f t="shared" si="8"/>
        <v>135.85985000000005</v>
      </c>
      <c r="T21" s="222">
        <f t="shared" si="8"/>
        <v>200.17316600000004</v>
      </c>
      <c r="U21" s="222">
        <f t="shared" si="8"/>
        <v>243.97975999999994</v>
      </c>
      <c r="V21" s="222">
        <f t="shared" si="8"/>
        <v>291.80744000000004</v>
      </c>
      <c r="W21" s="222">
        <f t="shared" si="8"/>
        <v>435.03585100000009</v>
      </c>
      <c r="X21" s="222">
        <f t="shared" si="8"/>
        <v>577.2259210000002</v>
      </c>
      <c r="Y21" s="222">
        <f t="shared" si="8"/>
        <v>822.08119100000022</v>
      </c>
      <c r="Z21" s="222">
        <f t="shared" si="8"/>
        <v>1235.2688799999996</v>
      </c>
      <c r="AA21" s="222">
        <f t="shared" si="8"/>
        <v>3863.074447</v>
      </c>
      <c r="AB21" s="222">
        <f t="shared" si="8"/>
        <v>4226.8900000000003</v>
      </c>
      <c r="AC21" s="222">
        <f t="shared" si="8"/>
        <v>4003.1999999999989</v>
      </c>
      <c r="AD21" s="222">
        <f t="shared" si="8"/>
        <v>2173.7400000000016</v>
      </c>
      <c r="AE21" s="222">
        <f t="shared" si="8"/>
        <v>8379.869999999999</v>
      </c>
      <c r="AF21" s="222">
        <f t="shared" si="8"/>
        <v>7935.0157099999997</v>
      </c>
      <c r="AG21" s="222">
        <f t="shared" si="8"/>
        <v>7582.2565000000031</v>
      </c>
      <c r="AH21" s="215">
        <f>SUM(C21:AG21)</f>
        <v>42363.272210000003</v>
      </c>
    </row>
    <row r="22" spans="1:34" x14ac:dyDescent="0.25">
      <c r="A22" s="269"/>
      <c r="B22" s="201" t="s">
        <v>20</v>
      </c>
      <c r="C22" s="222">
        <v>0.71</v>
      </c>
      <c r="D22" s="222">
        <f t="shared" ref="D22:AG22" si="9">D9-C9</f>
        <v>2.81</v>
      </c>
      <c r="E22" s="222">
        <f t="shared" si="9"/>
        <v>5.0500000000000007</v>
      </c>
      <c r="F22" s="222">
        <f t="shared" si="9"/>
        <v>16.18</v>
      </c>
      <c r="G22" s="222">
        <f t="shared" si="9"/>
        <v>25.267663999999996</v>
      </c>
      <c r="H22" s="222">
        <f t="shared" si="9"/>
        <v>32.603636999999992</v>
      </c>
      <c r="I22" s="222">
        <f t="shared" si="9"/>
        <v>28.878699000000012</v>
      </c>
      <c r="J22" s="222">
        <f t="shared" si="9"/>
        <v>11.870000000000005</v>
      </c>
      <c r="K22" s="222">
        <f t="shared" si="9"/>
        <v>9.6295650000000137</v>
      </c>
      <c r="L22" s="222">
        <f t="shared" si="9"/>
        <v>11.874988000000002</v>
      </c>
      <c r="M22" s="222">
        <f t="shared" si="9"/>
        <v>8.342000000000013</v>
      </c>
      <c r="N22" s="222">
        <f t="shared" si="9"/>
        <v>175.777874</v>
      </c>
      <c r="O22" s="222">
        <f t="shared" si="9"/>
        <v>112.11250000000001</v>
      </c>
      <c r="P22" s="222">
        <f t="shared" si="9"/>
        <v>178.47961999999995</v>
      </c>
      <c r="Q22" s="222">
        <f t="shared" si="9"/>
        <v>321.51963599999999</v>
      </c>
      <c r="R22" s="222">
        <f t="shared" si="9"/>
        <v>682.99258899999984</v>
      </c>
      <c r="S22" s="222">
        <f t="shared" si="9"/>
        <v>1177.7103360000001</v>
      </c>
      <c r="T22" s="222">
        <f t="shared" si="9"/>
        <v>972.0045070000001</v>
      </c>
      <c r="U22" s="222">
        <f t="shared" si="9"/>
        <v>918.54579099999955</v>
      </c>
      <c r="V22" s="222">
        <f t="shared" si="9"/>
        <v>801.54886400000032</v>
      </c>
      <c r="W22" s="222">
        <f t="shared" si="9"/>
        <v>1053.0482499999998</v>
      </c>
      <c r="X22" s="222">
        <f t="shared" si="9"/>
        <v>1534.4900109999999</v>
      </c>
      <c r="Y22" s="222">
        <f t="shared" si="9"/>
        <v>1776.1957000000002</v>
      </c>
      <c r="Z22" s="222">
        <f t="shared" si="9"/>
        <v>2841.4591820000005</v>
      </c>
      <c r="AA22" s="222">
        <f t="shared" si="9"/>
        <v>7096.828587</v>
      </c>
      <c r="AB22" s="222">
        <f t="shared" si="9"/>
        <v>8761.23</v>
      </c>
      <c r="AC22" s="222">
        <f t="shared" si="9"/>
        <v>7059.16</v>
      </c>
      <c r="AD22" s="222">
        <f t="shared" si="9"/>
        <v>8053.4100000000035</v>
      </c>
      <c r="AE22" s="222">
        <f t="shared" si="9"/>
        <v>2607.2699999999968</v>
      </c>
      <c r="AF22" s="222">
        <f t="shared" si="9"/>
        <v>4080.7620020000031</v>
      </c>
      <c r="AG22" s="222">
        <f t="shared" si="9"/>
        <v>3986.3217000000004</v>
      </c>
      <c r="AH22" s="215">
        <f>SUM(C22:AG22)</f>
        <v>54344.083702000004</v>
      </c>
    </row>
    <row r="23" spans="1:34" x14ac:dyDescent="0.25">
      <c r="A23" s="269"/>
      <c r="B23" s="196" t="s">
        <v>17</v>
      </c>
      <c r="C23" s="224">
        <f>SUM(C21:C22)</f>
        <v>0.71</v>
      </c>
      <c r="D23" s="224">
        <f t="shared" ref="D23:AH23" si="10">SUM(D21:D22)</f>
        <v>2.81</v>
      </c>
      <c r="E23" s="224">
        <f t="shared" si="10"/>
        <v>5.0500000000000007</v>
      </c>
      <c r="F23" s="224">
        <f t="shared" si="10"/>
        <v>16.18</v>
      </c>
      <c r="G23" s="224">
        <f t="shared" si="10"/>
        <v>25.996999999999996</v>
      </c>
      <c r="H23" s="224">
        <f t="shared" si="10"/>
        <v>34.55299999999999</v>
      </c>
      <c r="I23" s="224">
        <f t="shared" si="10"/>
        <v>30.100000000000012</v>
      </c>
      <c r="J23" s="224">
        <f t="shared" si="10"/>
        <v>14.050000000000004</v>
      </c>
      <c r="K23" s="224">
        <f t="shared" si="10"/>
        <v>11.647665000000014</v>
      </c>
      <c r="L23" s="224">
        <f t="shared" si="10"/>
        <v>14.862988000000003</v>
      </c>
      <c r="M23" s="224">
        <f t="shared" si="10"/>
        <v>13.914000000000012</v>
      </c>
      <c r="N23" s="224">
        <f t="shared" si="10"/>
        <v>186.955174</v>
      </c>
      <c r="O23" s="224">
        <f t="shared" si="10"/>
        <v>136.23284000000001</v>
      </c>
      <c r="P23" s="224">
        <f t="shared" si="10"/>
        <v>216.20934499999996</v>
      </c>
      <c r="Q23" s="224">
        <f t="shared" si="10"/>
        <v>403.23224999999996</v>
      </c>
      <c r="R23" s="224">
        <f t="shared" si="10"/>
        <v>769.38800399999991</v>
      </c>
      <c r="S23" s="224">
        <f t="shared" si="10"/>
        <v>1313.5701860000001</v>
      </c>
      <c r="T23" s="224">
        <f t="shared" si="10"/>
        <v>1172.1776730000001</v>
      </c>
      <c r="U23" s="224">
        <f t="shared" si="10"/>
        <v>1162.5255509999995</v>
      </c>
      <c r="V23" s="224">
        <f t="shared" si="10"/>
        <v>1093.3563040000004</v>
      </c>
      <c r="W23" s="224">
        <f t="shared" si="10"/>
        <v>1488.0841009999999</v>
      </c>
      <c r="X23" s="224">
        <f t="shared" si="10"/>
        <v>2111.7159320000001</v>
      </c>
      <c r="Y23" s="224">
        <f t="shared" si="10"/>
        <v>2598.2768910000004</v>
      </c>
      <c r="Z23" s="224">
        <f t="shared" si="10"/>
        <v>4076.7280620000001</v>
      </c>
      <c r="AA23" s="224">
        <f t="shared" si="10"/>
        <v>10959.903033999999</v>
      </c>
      <c r="AB23" s="224">
        <f t="shared" si="10"/>
        <v>12988.119999999999</v>
      </c>
      <c r="AC23" s="224">
        <f t="shared" si="10"/>
        <v>11062.359999999999</v>
      </c>
      <c r="AD23" s="224">
        <f t="shared" si="10"/>
        <v>10227.150000000005</v>
      </c>
      <c r="AE23" s="224">
        <f t="shared" si="10"/>
        <v>10987.139999999996</v>
      </c>
      <c r="AF23" s="224">
        <f t="shared" si="10"/>
        <v>12015.777712000003</v>
      </c>
      <c r="AG23" s="224">
        <f t="shared" si="10"/>
        <v>11568.578200000004</v>
      </c>
      <c r="AH23" s="224">
        <f t="shared" si="10"/>
        <v>96707.355911999999</v>
      </c>
    </row>
    <row r="24" spans="1:34" x14ac:dyDescent="0.25">
      <c r="A24" s="269" t="s">
        <v>306</v>
      </c>
      <c r="B24" s="199" t="s">
        <v>19</v>
      </c>
      <c r="C24" s="222">
        <f>C21/C$2</f>
        <v>0</v>
      </c>
      <c r="D24" s="222">
        <f t="shared" ref="D24:AG24" si="11">D21/D$2</f>
        <v>0</v>
      </c>
      <c r="E24" s="222">
        <f t="shared" si="11"/>
        <v>0</v>
      </c>
      <c r="F24" s="222">
        <f t="shared" si="11"/>
        <v>0</v>
      </c>
      <c r="G24" s="222">
        <f t="shared" si="11"/>
        <v>4.5189898805770415E-2</v>
      </c>
      <c r="H24" s="222">
        <f t="shared" si="11"/>
        <v>9.8236313767319242E-2</v>
      </c>
      <c r="I24" s="222">
        <f t="shared" si="11"/>
        <v>5.6116946646947406E-2</v>
      </c>
      <c r="J24" s="222">
        <f t="shared" si="11"/>
        <v>0.10663579381079005</v>
      </c>
      <c r="K24" s="222">
        <f t="shared" si="11"/>
        <v>7.6826794883649921E-2</v>
      </c>
      <c r="L24" s="222">
        <f t="shared" si="11"/>
        <v>0.11496346004925503</v>
      </c>
      <c r="M24" s="222">
        <f t="shared" si="11"/>
        <v>0.19165518466830062</v>
      </c>
      <c r="N24" s="222">
        <f t="shared" si="11"/>
        <v>0.38903422800218757</v>
      </c>
      <c r="O24" s="222">
        <f t="shared" si="11"/>
        <v>0.81018412619078117</v>
      </c>
      <c r="P24" s="222">
        <f t="shared" si="11"/>
        <v>1.0100540327966105</v>
      </c>
      <c r="Q24" s="222">
        <f t="shared" si="11"/>
        <v>1.7975041207525118</v>
      </c>
      <c r="R24" s="222">
        <f t="shared" si="11"/>
        <v>1.944370870257242</v>
      </c>
      <c r="S24" s="222">
        <f t="shared" si="11"/>
        <v>2.5038999768813817</v>
      </c>
      <c r="T24" s="222">
        <f t="shared" si="11"/>
        <v>3.5940089498869465</v>
      </c>
      <c r="U24" s="222">
        <f t="shared" si="11"/>
        <v>3.9112135378330275</v>
      </c>
      <c r="V24" s="222">
        <f t="shared" si="11"/>
        <v>4.9047821667474167</v>
      </c>
      <c r="W24" s="222">
        <f t="shared" si="11"/>
        <v>7.5246927263873253</v>
      </c>
      <c r="X24" s="222">
        <f t="shared" si="11"/>
        <v>9.8905661258661635</v>
      </c>
      <c r="Y24" s="222">
        <f t="shared" si="11"/>
        <v>13.792154985023489</v>
      </c>
      <c r="Z24" s="222">
        <f t="shared" si="11"/>
        <v>20.497660829921458</v>
      </c>
      <c r="AA24" s="222">
        <f t="shared" si="11"/>
        <v>63.668493509029055</v>
      </c>
      <c r="AB24" s="222">
        <f t="shared" si="11"/>
        <v>59.85419043479375</v>
      </c>
      <c r="AC24" s="222">
        <f t="shared" si="11"/>
        <v>49.059989906622768</v>
      </c>
      <c r="AD24" s="222">
        <f t="shared" si="11"/>
        <v>25.502017217375336</v>
      </c>
      <c r="AE24" s="222">
        <f t="shared" si="11"/>
        <v>97.035254856107954</v>
      </c>
      <c r="AF24" s="222">
        <f t="shared" si="11"/>
        <v>84.970010732006998</v>
      </c>
      <c r="AG24" s="222">
        <f t="shared" si="11"/>
        <v>74.619929769688611</v>
      </c>
      <c r="AH24" s="215">
        <f>SUM(C24:AG24)</f>
        <v>527.96963749480301</v>
      </c>
    </row>
    <row r="25" spans="1:34" x14ac:dyDescent="0.25">
      <c r="A25" s="269"/>
      <c r="B25" s="201" t="s">
        <v>20</v>
      </c>
      <c r="C25" s="222">
        <f t="shared" ref="C25:AG25" si="12">C22/C$2</f>
        <v>4.9690557303395631E-2</v>
      </c>
      <c r="D25" s="222">
        <f t="shared" si="12"/>
        <v>0.18972038253840606</v>
      </c>
      <c r="E25" s="222">
        <f t="shared" si="12"/>
        <v>0.33907076883658982</v>
      </c>
      <c r="F25" s="222">
        <f t="shared" si="12"/>
        <v>1.0756637004586396</v>
      </c>
      <c r="G25" s="222">
        <f t="shared" si="12"/>
        <v>1.5655927846948567</v>
      </c>
      <c r="H25" s="222">
        <f t="shared" si="12"/>
        <v>1.6430296021252984</v>
      </c>
      <c r="I25" s="222">
        <f t="shared" si="12"/>
        <v>1.326932845397043</v>
      </c>
      <c r="J25" s="222">
        <f t="shared" si="12"/>
        <v>0.58062700574957726</v>
      </c>
      <c r="K25" s="222">
        <f t="shared" si="12"/>
        <v>0.36658669792070525</v>
      </c>
      <c r="L25" s="222">
        <f t="shared" si="12"/>
        <v>0.45689079937194865</v>
      </c>
      <c r="M25" s="222">
        <f t="shared" si="12"/>
        <v>0.28693243907088417</v>
      </c>
      <c r="N25" s="222">
        <f t="shared" si="12"/>
        <v>6.1180794567074166</v>
      </c>
      <c r="O25" s="222">
        <f t="shared" si="12"/>
        <v>3.7657747713159906</v>
      </c>
      <c r="P25" s="222">
        <f t="shared" si="12"/>
        <v>4.7780380045973443</v>
      </c>
      <c r="Q25" s="222">
        <f t="shared" si="12"/>
        <v>7.0727497545586751</v>
      </c>
      <c r="R25" s="222">
        <f t="shared" si="12"/>
        <v>15.371080683542944</v>
      </c>
      <c r="S25" s="222">
        <f t="shared" si="12"/>
        <v>21.705226990044252</v>
      </c>
      <c r="T25" s="222">
        <f t="shared" si="12"/>
        <v>17.451854148564792</v>
      </c>
      <c r="U25" s="222">
        <f t="shared" si="12"/>
        <v>14.725109709423215</v>
      </c>
      <c r="V25" s="222">
        <f t="shared" si="12"/>
        <v>13.472660511753407</v>
      </c>
      <c r="W25" s="222">
        <f t="shared" si="12"/>
        <v>18.214279326854601</v>
      </c>
      <c r="X25" s="222">
        <f t="shared" si="12"/>
        <v>26.292954580043176</v>
      </c>
      <c r="Y25" s="222">
        <f t="shared" si="12"/>
        <v>29.799448821268896</v>
      </c>
      <c r="Z25" s="222">
        <f t="shared" si="12"/>
        <v>47.150274339220864</v>
      </c>
      <c r="AA25" s="222">
        <f t="shared" si="12"/>
        <v>116.96496948874393</v>
      </c>
      <c r="AB25" s="222">
        <f t="shared" si="12"/>
        <v>124.06197674011577</v>
      </c>
      <c r="AC25" s="222">
        <f t="shared" si="12"/>
        <v>86.511370490916079</v>
      </c>
      <c r="AD25" s="222">
        <f t="shared" si="12"/>
        <v>94.481492946986592</v>
      </c>
      <c r="AE25" s="222">
        <f t="shared" si="12"/>
        <v>30.191054148654374</v>
      </c>
      <c r="AF25" s="222">
        <f t="shared" si="12"/>
        <v>43.697757355127742</v>
      </c>
      <c r="AG25" s="222">
        <f t="shared" si="12"/>
        <v>39.230939403512082</v>
      </c>
      <c r="AH25" s="215">
        <f>SUM(C25:AG25)</f>
        <v>768.9378292554195</v>
      </c>
    </row>
    <row r="26" spans="1:34" x14ac:dyDescent="0.25">
      <c r="A26" s="269"/>
      <c r="B26" s="196" t="s">
        <v>17</v>
      </c>
      <c r="C26" s="224">
        <f>SUM(C24:C25)</f>
        <v>4.9690557303395631E-2</v>
      </c>
      <c r="D26" s="224">
        <f t="shared" ref="D26:AH26" si="13">SUM(D24:D25)</f>
        <v>0.18972038253840606</v>
      </c>
      <c r="E26" s="224">
        <f t="shared" si="13"/>
        <v>0.33907076883658982</v>
      </c>
      <c r="F26" s="224">
        <f t="shared" si="13"/>
        <v>1.0756637004586396</v>
      </c>
      <c r="G26" s="224">
        <f t="shared" si="13"/>
        <v>1.6107826835006271</v>
      </c>
      <c r="H26" s="224">
        <f t="shared" si="13"/>
        <v>1.7412659158926176</v>
      </c>
      <c r="I26" s="224">
        <f t="shared" si="13"/>
        <v>1.3830497920439904</v>
      </c>
      <c r="J26" s="224">
        <f t="shared" si="13"/>
        <v>0.68726279956036729</v>
      </c>
      <c r="K26" s="224">
        <f t="shared" si="13"/>
        <v>0.44341349280435516</v>
      </c>
      <c r="L26" s="224">
        <f t="shared" si="13"/>
        <v>0.57185425942120371</v>
      </c>
      <c r="M26" s="224">
        <f t="shared" si="13"/>
        <v>0.47858762373918479</v>
      </c>
      <c r="N26" s="224">
        <f t="shared" si="13"/>
        <v>6.5071136847096041</v>
      </c>
      <c r="O26" s="224">
        <f t="shared" si="13"/>
        <v>4.575958897506772</v>
      </c>
      <c r="P26" s="224">
        <f t="shared" si="13"/>
        <v>5.7880920373939553</v>
      </c>
      <c r="Q26" s="224">
        <f t="shared" si="13"/>
        <v>8.870253875311187</v>
      </c>
      <c r="R26" s="224">
        <f t="shared" si="13"/>
        <v>17.315451553800187</v>
      </c>
      <c r="S26" s="224">
        <f t="shared" si="13"/>
        <v>24.209126966925634</v>
      </c>
      <c r="T26" s="224">
        <f t="shared" si="13"/>
        <v>21.04586309845174</v>
      </c>
      <c r="U26" s="224">
        <f t="shared" si="13"/>
        <v>18.636323247256243</v>
      </c>
      <c r="V26" s="224">
        <f t="shared" si="13"/>
        <v>18.377442678500824</v>
      </c>
      <c r="W26" s="224">
        <f t="shared" si="13"/>
        <v>25.738972053241927</v>
      </c>
      <c r="X26" s="224">
        <f t="shared" si="13"/>
        <v>36.183520705909338</v>
      </c>
      <c r="Y26" s="224">
        <f t="shared" si="13"/>
        <v>43.591603806292383</v>
      </c>
      <c r="Z26" s="224">
        <f t="shared" si="13"/>
        <v>67.647935169142329</v>
      </c>
      <c r="AA26" s="224">
        <f t="shared" si="13"/>
        <v>180.63346299777299</v>
      </c>
      <c r="AB26" s="224">
        <f t="shared" si="13"/>
        <v>183.9161671749095</v>
      </c>
      <c r="AC26" s="224">
        <f t="shared" si="13"/>
        <v>135.57136039753885</v>
      </c>
      <c r="AD26" s="224">
        <f t="shared" si="13"/>
        <v>119.98351016436193</v>
      </c>
      <c r="AE26" s="224">
        <f t="shared" si="13"/>
        <v>127.22630900476233</v>
      </c>
      <c r="AF26" s="224">
        <f t="shared" si="13"/>
        <v>128.66776808713473</v>
      </c>
      <c r="AG26" s="224">
        <f t="shared" si="13"/>
        <v>113.85086917320069</v>
      </c>
      <c r="AH26" s="224">
        <f t="shared" si="13"/>
        <v>1296.9074667502225</v>
      </c>
    </row>
    <row r="27" spans="1:34" x14ac:dyDescent="0.25">
      <c r="A27" s="271" t="s">
        <v>298</v>
      </c>
      <c r="B27" s="271"/>
      <c r="C27" s="222">
        <v>9.5</v>
      </c>
      <c r="D27" s="222">
        <f>D11-C11</f>
        <v>19.32</v>
      </c>
      <c r="E27" s="222">
        <f t="shared" ref="E27:AG27" si="14">E11-D11</f>
        <v>18.68</v>
      </c>
      <c r="F27" s="222">
        <f t="shared" si="14"/>
        <v>17.620000000000005</v>
      </c>
      <c r="G27" s="222">
        <f t="shared" si="14"/>
        <v>25.75</v>
      </c>
      <c r="H27" s="222">
        <f t="shared" si="14"/>
        <v>33.409999999999997</v>
      </c>
      <c r="I27" s="222">
        <f t="shared" si="14"/>
        <v>26.72</v>
      </c>
      <c r="J27" s="222">
        <f t="shared" si="14"/>
        <v>38.054000000000002</v>
      </c>
      <c r="K27" s="222">
        <f t="shared" si="14"/>
        <v>34.210999999999984</v>
      </c>
      <c r="L27" s="222">
        <f t="shared" si="14"/>
        <v>28.794999999999987</v>
      </c>
      <c r="M27" s="222">
        <f t="shared" si="14"/>
        <v>26.764172000000002</v>
      </c>
      <c r="N27" s="222">
        <f t="shared" si="14"/>
        <v>27.531979999999976</v>
      </c>
      <c r="O27" s="222">
        <f t="shared" si="14"/>
        <v>63.613</v>
      </c>
      <c r="P27" s="222">
        <f t="shared" si="14"/>
        <v>92.892129000000011</v>
      </c>
      <c r="Q27" s="222">
        <f t="shared" si="14"/>
        <v>147.68480599999998</v>
      </c>
      <c r="R27" s="222">
        <f t="shared" si="14"/>
        <v>212.17764599999998</v>
      </c>
      <c r="S27" s="222">
        <f t="shared" si="14"/>
        <v>230.03763600000013</v>
      </c>
      <c r="T27" s="222">
        <f t="shared" si="14"/>
        <v>275.72997299999997</v>
      </c>
      <c r="U27" s="222">
        <f t="shared" si="14"/>
        <v>308.00303000000008</v>
      </c>
      <c r="V27" s="222">
        <f t="shared" si="14"/>
        <v>673.76636099999996</v>
      </c>
      <c r="W27" s="222">
        <f t="shared" si="14"/>
        <v>465.20854599999984</v>
      </c>
      <c r="X27" s="222">
        <f t="shared" si="14"/>
        <v>1050.2807210000001</v>
      </c>
      <c r="Y27" s="222">
        <f t="shared" si="14"/>
        <v>587.22177600000032</v>
      </c>
      <c r="Z27" s="222">
        <f t="shared" si="14"/>
        <v>1286.0158959999999</v>
      </c>
      <c r="AA27" s="222">
        <f t="shared" si="14"/>
        <v>2062.4623279999996</v>
      </c>
      <c r="AB27" s="222">
        <f t="shared" si="14"/>
        <v>1432.8000000000002</v>
      </c>
      <c r="AC27" s="222">
        <f t="shared" si="14"/>
        <v>1760.8099999999995</v>
      </c>
      <c r="AD27" s="222">
        <f t="shared" si="14"/>
        <v>1216.7800000000007</v>
      </c>
      <c r="AE27" s="222">
        <f t="shared" si="14"/>
        <v>4193.16</v>
      </c>
      <c r="AF27" s="222">
        <f t="shared" si="14"/>
        <v>1102.0139999999992</v>
      </c>
      <c r="AG27" s="222">
        <f t="shared" si="14"/>
        <v>1170.799962000001</v>
      </c>
      <c r="AH27" s="215">
        <f>SUM(C27:AG27)</f>
        <v>18637.813962</v>
      </c>
    </row>
    <row r="28" spans="1:34" x14ac:dyDescent="0.25">
      <c r="A28" s="271" t="s">
        <v>307</v>
      </c>
      <c r="B28" s="271"/>
      <c r="C28" s="217">
        <f>C27/C$2</f>
        <v>0.66487365405951904</v>
      </c>
      <c r="D28" s="217">
        <f t="shared" ref="D28:AG28" si="15">D27/D$2</f>
        <v>1.3044120251395037</v>
      </c>
      <c r="E28" s="217">
        <f t="shared" si="15"/>
        <v>1.2542261310628706</v>
      </c>
      <c r="F28" s="217">
        <f t="shared" si="15"/>
        <v>1.1713964401780739</v>
      </c>
      <c r="G28" s="217">
        <f t="shared" si="15"/>
        <v>1.5954784821379835</v>
      </c>
      <c r="H28" s="217">
        <f t="shared" si="15"/>
        <v>1.6836655066122295</v>
      </c>
      <c r="I28" s="217">
        <f t="shared" si="15"/>
        <v>1.227743868552007</v>
      </c>
      <c r="J28" s="217">
        <f t="shared" si="15"/>
        <v>1.8614305035210112</v>
      </c>
      <c r="K28" s="217">
        <f t="shared" si="15"/>
        <v>1.302374252893586</v>
      </c>
      <c r="L28" s="217">
        <f t="shared" si="15"/>
        <v>1.1078891673756011</v>
      </c>
      <c r="M28" s="217">
        <f t="shared" si="15"/>
        <v>0.92058369116190997</v>
      </c>
      <c r="N28" s="217">
        <f t="shared" si="15"/>
        <v>0.95827101220076938</v>
      </c>
      <c r="O28" s="217">
        <f t="shared" si="15"/>
        <v>2.1367129492940045</v>
      </c>
      <c r="P28" s="217">
        <f t="shared" si="15"/>
        <v>2.4867944177041572</v>
      </c>
      <c r="Q28" s="217">
        <f t="shared" si="15"/>
        <v>3.2487523573476098</v>
      </c>
      <c r="R28" s="217">
        <f t="shared" si="15"/>
        <v>4.7751612073644525</v>
      </c>
      <c r="S28" s="217">
        <f t="shared" si="15"/>
        <v>4.2395986118212834</v>
      </c>
      <c r="T28" s="217">
        <f t="shared" si="15"/>
        <v>4.9505935811300796</v>
      </c>
      <c r="U28" s="217">
        <f t="shared" si="15"/>
        <v>4.9375637578690661</v>
      </c>
      <c r="V28" s="217">
        <f t="shared" si="15"/>
        <v>11.324855980324223</v>
      </c>
      <c r="W28" s="217">
        <f t="shared" si="15"/>
        <v>8.0465813433372002</v>
      </c>
      <c r="X28" s="217">
        <f t="shared" si="15"/>
        <v>17.996196192604607</v>
      </c>
      <c r="Y28" s="217">
        <f t="shared" si="15"/>
        <v>9.8518903410511776</v>
      </c>
      <c r="Z28" s="217">
        <f t="shared" si="15"/>
        <v>21.3397407519046</v>
      </c>
      <c r="AA28" s="217">
        <f t="shared" si="15"/>
        <v>33.992062836081537</v>
      </c>
      <c r="AB28" s="217">
        <f t="shared" si="15"/>
        <v>20.288932064703005</v>
      </c>
      <c r="AC28" s="217">
        <f t="shared" si="15"/>
        <v>21.579066953307461</v>
      </c>
      <c r="AD28" s="217">
        <f t="shared" si="15"/>
        <v>14.275094772032512</v>
      </c>
      <c r="AE28" s="217">
        <f t="shared" si="15"/>
        <v>48.554971527295493</v>
      </c>
      <c r="AF28" s="217">
        <f t="shared" si="15"/>
        <v>11.800624577064877</v>
      </c>
      <c r="AG28" s="217">
        <f t="shared" si="15"/>
        <v>11.522296949304488</v>
      </c>
      <c r="AH28" s="215">
        <f>SUM(C28:AG28)</f>
        <v>272.39983590643686</v>
      </c>
    </row>
  </sheetData>
  <mergeCells count="11">
    <mergeCell ref="A13:A15"/>
    <mergeCell ref="A3:B3"/>
    <mergeCell ref="A4:A6"/>
    <mergeCell ref="A8:A10"/>
    <mergeCell ref="A11:B11"/>
    <mergeCell ref="A12:B12"/>
    <mergeCell ref="A16:A18"/>
    <mergeCell ref="A21:A23"/>
    <mergeCell ref="A24:A26"/>
    <mergeCell ref="A27:B27"/>
    <mergeCell ref="A28:B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7" sqref="B27"/>
    </sheetView>
  </sheetViews>
  <sheetFormatPr defaultRowHeight="15" x14ac:dyDescent="0.25"/>
  <cols>
    <col min="1" max="16384" width="9.140625" style="184"/>
  </cols>
  <sheetData>
    <row r="1" spans="2:6" ht="45" x14ac:dyDescent="0.25">
      <c r="B1" s="227" t="s">
        <v>308</v>
      </c>
      <c r="C1" s="227" t="s">
        <v>309</v>
      </c>
      <c r="D1" s="227" t="s">
        <v>310</v>
      </c>
      <c r="E1" s="227" t="s">
        <v>311</v>
      </c>
      <c r="F1" s="227" t="s">
        <v>312</v>
      </c>
    </row>
    <row r="2" spans="2:6" x14ac:dyDescent="0.25">
      <c r="B2" s="228">
        <v>2013</v>
      </c>
      <c r="C2" s="228">
        <v>101.611681</v>
      </c>
      <c r="D2" s="228">
        <v>97.246966999999998</v>
      </c>
      <c r="E2" s="228">
        <v>108.599626</v>
      </c>
      <c r="F2" s="228">
        <v>255</v>
      </c>
    </row>
    <row r="3" spans="2:6" x14ac:dyDescent="0.25">
      <c r="B3" s="228">
        <v>2012</v>
      </c>
      <c r="C3" s="228">
        <v>93.386073999999994</v>
      </c>
      <c r="D3" s="228">
        <v>89.944794999999999</v>
      </c>
      <c r="E3" s="228">
        <v>98.104622000000006</v>
      </c>
      <c r="F3" s="228">
        <v>256</v>
      </c>
    </row>
    <row r="4" spans="2:6" x14ac:dyDescent="0.25">
      <c r="B4" s="228">
        <v>2011</v>
      </c>
      <c r="C4" s="228">
        <v>86.359025000000003</v>
      </c>
      <c r="D4" s="228">
        <v>84.211183000000005</v>
      </c>
      <c r="E4" s="228">
        <v>90.074523999999997</v>
      </c>
      <c r="F4" s="228">
        <v>257</v>
      </c>
    </row>
    <row r="5" spans="2:6" x14ac:dyDescent="0.25">
      <c r="B5" s="228">
        <v>2010</v>
      </c>
      <c r="C5" s="228">
        <v>85.237962999999993</v>
      </c>
      <c r="D5" s="228">
        <v>83.613068999999996</v>
      </c>
      <c r="E5" s="228">
        <v>87.779572000000002</v>
      </c>
      <c r="F5" s="228">
        <v>258</v>
      </c>
    </row>
    <row r="6" spans="2:6" x14ac:dyDescent="0.25">
      <c r="B6" s="228">
        <v>2009</v>
      </c>
      <c r="C6" s="228">
        <v>81.598060000000004</v>
      </c>
      <c r="D6" s="228">
        <v>76.1631</v>
      </c>
      <c r="E6" s="228">
        <v>84.610006999999996</v>
      </c>
      <c r="F6" s="228">
        <v>256</v>
      </c>
    </row>
    <row r="7" spans="2:6" x14ac:dyDescent="0.25">
      <c r="B7" s="228">
        <v>2008</v>
      </c>
      <c r="C7" s="228">
        <v>70.619783999999996</v>
      </c>
      <c r="D7" s="228">
        <v>61.810915000000001</v>
      </c>
      <c r="E7" s="228">
        <v>82.574243999999993</v>
      </c>
      <c r="F7" s="228">
        <v>256</v>
      </c>
    </row>
    <row r="8" spans="2:6" x14ac:dyDescent="0.25">
      <c r="B8" s="228">
        <v>2007</v>
      </c>
      <c r="C8" s="228">
        <v>60.674821000000001</v>
      </c>
      <c r="D8" s="228">
        <v>59.944178000000001</v>
      </c>
      <c r="E8" s="228">
        <v>61.566172999999999</v>
      </c>
      <c r="F8" s="228">
        <v>255</v>
      </c>
    </row>
    <row r="9" spans="2:6" x14ac:dyDescent="0.25">
      <c r="B9" s="228">
        <v>2006</v>
      </c>
      <c r="C9" s="228">
        <v>60.263894999999998</v>
      </c>
      <c r="D9" s="228">
        <v>59.738346</v>
      </c>
      <c r="E9" s="228">
        <v>60.957571000000002</v>
      </c>
      <c r="F9" s="228">
        <v>255</v>
      </c>
    </row>
    <row r="10" spans="2:6" x14ac:dyDescent="0.25">
      <c r="B10" s="228">
        <v>2005</v>
      </c>
      <c r="C10" s="228">
        <v>59.604984999999999</v>
      </c>
      <c r="D10" s="228">
        <v>58.578228000000003</v>
      </c>
      <c r="E10" s="228">
        <v>60.216240999999997</v>
      </c>
      <c r="F10" s="228">
        <v>257</v>
      </c>
    </row>
    <row r="11" spans="2:6" x14ac:dyDescent="0.25">
      <c r="B11" s="228">
        <v>2004</v>
      </c>
      <c r="C11" s="228">
        <v>58.361262000000004</v>
      </c>
      <c r="D11" s="228">
        <v>55.222501999999999</v>
      </c>
      <c r="E11" s="228">
        <v>61.159398000000003</v>
      </c>
      <c r="F11" s="228">
        <v>259</v>
      </c>
    </row>
    <row r="12" spans="2:6" x14ac:dyDescent="0.25">
      <c r="B12" s="228">
        <v>2003</v>
      </c>
      <c r="C12" s="228">
        <v>57.814433999999999</v>
      </c>
      <c r="D12" s="228">
        <v>54.944012999999998</v>
      </c>
      <c r="E12" s="228">
        <v>61.325057999999999</v>
      </c>
      <c r="F12" s="228">
        <v>255</v>
      </c>
    </row>
    <row r="13" spans="2:6" x14ac:dyDescent="0.25">
      <c r="B13" s="228">
        <v>2002</v>
      </c>
      <c r="C13" s="228">
        <v>59.494475000000001</v>
      </c>
      <c r="D13" s="228">
        <v>57.631506000000002</v>
      </c>
      <c r="E13" s="228">
        <v>62.846119999999999</v>
      </c>
      <c r="F13" s="228">
        <v>255</v>
      </c>
    </row>
    <row r="14" spans="2:6" x14ac:dyDescent="0.25">
      <c r="B14" s="228">
        <v>2001</v>
      </c>
      <c r="C14" s="228">
        <v>62.379555000000003</v>
      </c>
      <c r="D14" s="228">
        <v>58.507081999999997</v>
      </c>
      <c r="E14" s="228">
        <v>67.242580000000004</v>
      </c>
      <c r="F14" s="228">
        <v>255</v>
      </c>
    </row>
    <row r="15" spans="2:6" x14ac:dyDescent="0.25">
      <c r="B15" s="228">
        <v>2000</v>
      </c>
      <c r="C15" s="228">
        <v>55.696345999999998</v>
      </c>
      <c r="D15" s="228">
        <v>51.611866999999997</v>
      </c>
      <c r="E15" s="228">
        <v>61.066758</v>
      </c>
      <c r="F15" s="228">
        <v>255</v>
      </c>
    </row>
    <row r="16" spans="2:6" x14ac:dyDescent="0.25">
      <c r="B16" s="228">
        <v>1999</v>
      </c>
      <c r="C16" s="228">
        <v>54.259295999999999</v>
      </c>
      <c r="D16" s="228">
        <v>48.986370999999998</v>
      </c>
      <c r="E16" s="228">
        <v>57.668429000000003</v>
      </c>
      <c r="F16" s="228">
        <v>261</v>
      </c>
    </row>
    <row r="17" spans="2:6" x14ac:dyDescent="0.25">
      <c r="B17" s="228">
        <v>1998</v>
      </c>
      <c r="C17" s="228">
        <v>44.433608999999997</v>
      </c>
      <c r="D17" s="228">
        <v>41.037025999999997</v>
      </c>
      <c r="E17" s="228">
        <v>46.483421999999997</v>
      </c>
      <c r="F17" s="228">
        <v>261</v>
      </c>
    </row>
    <row r="18" spans="2:6" x14ac:dyDescent="0.25">
      <c r="B18" s="228">
        <v>1997</v>
      </c>
      <c r="C18" s="228">
        <v>45.458930000000002</v>
      </c>
      <c r="D18" s="228">
        <v>40.938361</v>
      </c>
      <c r="E18" s="228">
        <v>49.096769000000002</v>
      </c>
      <c r="F18" s="228">
        <v>261</v>
      </c>
    </row>
    <row r="19" spans="2:6" x14ac:dyDescent="0.25">
      <c r="B19" s="228">
        <v>1996</v>
      </c>
      <c r="C19" s="228">
        <v>37.354165000000002</v>
      </c>
      <c r="D19" s="228">
        <v>35.986679000000002</v>
      </c>
      <c r="E19" s="228">
        <v>38.315688999999999</v>
      </c>
      <c r="F19" s="228">
        <v>262</v>
      </c>
    </row>
    <row r="20" spans="2:6" x14ac:dyDescent="0.25">
      <c r="B20" s="228">
        <v>1995</v>
      </c>
      <c r="C20" s="228">
        <v>29.771429999999999</v>
      </c>
      <c r="D20" s="228">
        <v>28.67651</v>
      </c>
      <c r="E20" s="228">
        <v>31.851133000000001</v>
      </c>
      <c r="F20" s="228">
        <v>260</v>
      </c>
    </row>
    <row r="21" spans="2:6" x14ac:dyDescent="0.25">
      <c r="B21" s="228">
        <v>1994</v>
      </c>
      <c r="C21" s="228">
        <v>28.730891</v>
      </c>
      <c r="D21" s="228">
        <v>26.551717</v>
      </c>
      <c r="E21" s="228">
        <v>30.902296</v>
      </c>
      <c r="F21" s="228">
        <v>260</v>
      </c>
    </row>
    <row r="22" spans="2:6" x14ac:dyDescent="0.25">
      <c r="B22" s="228">
        <v>1993</v>
      </c>
      <c r="C22" s="228">
        <v>29.073046000000001</v>
      </c>
      <c r="D22" s="228">
        <v>27.350740999999999</v>
      </c>
      <c r="E22" s="228">
        <v>30.578679999999999</v>
      </c>
      <c r="F22" s="228">
        <v>261</v>
      </c>
    </row>
    <row r="23" spans="2:6" x14ac:dyDescent="0.25">
      <c r="B23" s="228">
        <v>1992</v>
      </c>
      <c r="C23" s="228">
        <v>25.990867000000001</v>
      </c>
      <c r="D23" s="228">
        <v>23.064816</v>
      </c>
      <c r="E23" s="228">
        <v>27.862773000000001</v>
      </c>
      <c r="F23" s="228">
        <v>262</v>
      </c>
    </row>
    <row r="24" spans="2:6" x14ac:dyDescent="0.25">
      <c r="B24" s="228">
        <v>1991</v>
      </c>
      <c r="C24" s="228">
        <v>26.268179</v>
      </c>
      <c r="D24" s="228">
        <v>23.042377999999999</v>
      </c>
      <c r="E24" s="228">
        <v>28.965627000000001</v>
      </c>
      <c r="F24" s="228">
        <v>261</v>
      </c>
    </row>
    <row r="25" spans="2:6" x14ac:dyDescent="0.25">
      <c r="B25" s="228">
        <v>1990</v>
      </c>
      <c r="C25" s="228">
        <v>20.443417</v>
      </c>
      <c r="D25" s="228">
        <v>18.601814999999998</v>
      </c>
      <c r="E25" s="228">
        <v>21.908442000000001</v>
      </c>
      <c r="F25" s="228">
        <v>261</v>
      </c>
    </row>
    <row r="26" spans="2:6" x14ac:dyDescent="0.25">
      <c r="B26" s="228">
        <v>1989</v>
      </c>
      <c r="C26" s="228">
        <v>21.763497000000001</v>
      </c>
      <c r="D26" s="228">
        <v>19.873556000000001</v>
      </c>
      <c r="E26" s="228">
        <v>23.588132000000002</v>
      </c>
      <c r="F26" s="228">
        <v>260</v>
      </c>
    </row>
    <row r="27" spans="2:6" x14ac:dyDescent="0.25">
      <c r="B27" s="228">
        <v>1988</v>
      </c>
      <c r="C27" s="228">
        <v>19.843609000000001</v>
      </c>
      <c r="D27" s="228">
        <v>17.989044</v>
      </c>
      <c r="E27" s="228">
        <v>21.567381000000001</v>
      </c>
      <c r="F27" s="228">
        <v>261</v>
      </c>
    </row>
    <row r="28" spans="2:6" x14ac:dyDescent="0.25">
      <c r="B28" s="228">
        <v>1987</v>
      </c>
      <c r="C28" s="228">
        <v>16.139358999999999</v>
      </c>
      <c r="D28" s="228">
        <v>14.27558</v>
      </c>
      <c r="E28" s="228">
        <v>17.398800000000001</v>
      </c>
      <c r="F28" s="228">
        <v>261</v>
      </c>
    </row>
    <row r="29" spans="2:6" x14ac:dyDescent="0.25">
      <c r="B29" s="228">
        <v>1986</v>
      </c>
      <c r="C29" s="228">
        <v>15.041876</v>
      </c>
      <c r="D29" s="228">
        <v>13.796678999999999</v>
      </c>
      <c r="E29" s="228">
        <v>16.734551</v>
      </c>
      <c r="F29" s="228">
        <v>261</v>
      </c>
    </row>
    <row r="30" spans="2:6" x14ac:dyDescent="0.25">
      <c r="B30" s="228">
        <v>1985</v>
      </c>
      <c r="C30" s="228">
        <v>14.893646</v>
      </c>
      <c r="D30" s="228">
        <v>12.690146</v>
      </c>
      <c r="E30" s="228">
        <v>17.614874</v>
      </c>
      <c r="F30" s="228">
        <v>261</v>
      </c>
    </row>
    <row r="31" spans="2:6" x14ac:dyDescent="0.25">
      <c r="B31" s="228">
        <v>1984</v>
      </c>
      <c r="C31" s="228">
        <v>14.811271</v>
      </c>
      <c r="D31" s="228">
        <v>13.243691999999999</v>
      </c>
      <c r="E31" s="228">
        <v>16.468526000000001</v>
      </c>
      <c r="F31" s="228">
        <v>261</v>
      </c>
    </row>
    <row r="32" spans="2:6" x14ac:dyDescent="0.25">
      <c r="B32" s="228">
        <v>1983</v>
      </c>
      <c r="C32" s="228">
        <v>14.288429000000001</v>
      </c>
      <c r="D32" s="228">
        <v>12.902532000000001</v>
      </c>
      <c r="E32" s="228">
        <v>15.589173000000001</v>
      </c>
      <c r="F32" s="228">
        <v>260</v>
      </c>
    </row>
    <row r="33" spans="1:2" x14ac:dyDescent="0.25">
      <c r="A33" s="184" t="s">
        <v>313</v>
      </c>
      <c r="B33" s="184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Graphs for presentation</vt:lpstr>
      <vt:lpstr>1.RSP Districts </vt:lpstr>
      <vt:lpstr>2. Overall com progres Sept 13</vt:lpstr>
      <vt:lpstr>2. Overall com progresJune(ref)</vt:lpstr>
      <vt:lpstr>Cummulative Progress since 82</vt:lpstr>
      <vt:lpstr>graphs</vt:lpstr>
      <vt:lpstr>Value in dolars </vt:lpstr>
      <vt:lpstr>Exchange rates</vt:lpstr>
      <vt:lpstr>'2. Overall com progres Sept 13'!Print_Area</vt:lpstr>
      <vt:lpstr>'2. Overall com progresJune(ref)'!Print_Area</vt:lpstr>
      <vt:lpstr>'1.RSP Districts '!Print_Titles</vt:lpstr>
      <vt:lpstr>'2. Overall com progres Sept 13'!Print_Titles</vt:lpstr>
      <vt:lpstr>'2. Overall com progresJune(ref)'!Print_Titles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2012-03-22T14:15:03Z</cp:lastPrinted>
  <dcterms:created xsi:type="dcterms:W3CDTF">2011-06-02T11:20:26Z</dcterms:created>
  <dcterms:modified xsi:type="dcterms:W3CDTF">2014-01-16T10:15:46Z</dcterms:modified>
</cp:coreProperties>
</file>