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600" windowHeight="7695" firstSheet="1" activeTab="1"/>
  </bookViews>
  <sheets>
    <sheet name="Graphs for presentation" sheetId="10" r:id="rId1"/>
    <sheet name="1.RSP Districts " sheetId="2" r:id="rId2"/>
    <sheet name="2. Overall cum progress March14" sheetId="17" r:id="rId3"/>
    <sheet name="1.RSP Districts  (2)" sheetId="19" state="hidden" r:id="rId4"/>
    <sheet name="Cummulative Progress since 82" sheetId="13" r:id="rId5"/>
    <sheet name="graphs" sheetId="14" r:id="rId6"/>
    <sheet name="Value in dollars " sheetId="15" r:id="rId7"/>
    <sheet name="Exchange rates" sheetId="1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_FilterDatabase" localSheetId="1" hidden="1">'1.RSP Districts '!$R$5:$R$234</definedName>
    <definedName name="_xlnm._FilterDatabase" localSheetId="3" hidden="1">'1.RSP Districts  (2)'!$A$42:$T$228</definedName>
    <definedName name="_xlnm._FilterDatabase" localSheetId="2" hidden="1">'2. Overall cum progress March14'!#REF!</definedName>
    <definedName name="_xlnm.Print_Area" localSheetId="1">'1.RSP Districts '!$A$1:$S$230</definedName>
    <definedName name="_xlnm.Print_Area" localSheetId="3">'1.RSP Districts  (2)'!$A$1:$R$214</definedName>
    <definedName name="_xlnm.Print_Area" localSheetId="2">'2. Overall cum progress March14'!$A$1:$M$55</definedName>
    <definedName name="_xlnm.Print_Titles" localSheetId="1">'1.RSP Districts '!$1:$3</definedName>
    <definedName name="_xlnm.Print_Titles" localSheetId="3">'1.RSP Districts  (2)'!$1:$3</definedName>
    <definedName name="_xlnm.Print_Titles" localSheetId="2">'2. Overall cum progress March14'!$1:$3</definedName>
  </definedNames>
  <calcPr calcId="125725"/>
</workbook>
</file>

<file path=xl/calcChain.xml><?xml version="1.0" encoding="utf-8"?>
<calcChain xmlns="http://schemas.openxmlformats.org/spreadsheetml/2006/main">
  <c r="N46" i="17"/>
  <c r="N20"/>
  <c r="G7"/>
  <c r="AH12" i="15" l="1"/>
  <c r="K13" i="17"/>
  <c r="K12"/>
  <c r="K10"/>
  <c r="K9"/>
  <c r="K8"/>
  <c r="P200" i="2"/>
  <c r="P195"/>
  <c r="P192"/>
  <c r="P191"/>
  <c r="U191" s="1"/>
  <c r="P189"/>
  <c r="U189" s="1"/>
  <c r="O200"/>
  <c r="O195"/>
  <c r="O192"/>
  <c r="O191"/>
  <c r="O189"/>
  <c r="P75"/>
  <c r="U75" s="1"/>
  <c r="P71"/>
  <c r="U71" s="1"/>
  <c r="P70"/>
  <c r="P68"/>
  <c r="P67"/>
  <c r="P65"/>
  <c r="U65" s="1"/>
  <c r="P64"/>
  <c r="P61"/>
  <c r="U61" s="1"/>
  <c r="P60"/>
  <c r="U60" s="1"/>
  <c r="P59"/>
  <c r="P57"/>
  <c r="P55"/>
  <c r="U55" s="1"/>
  <c r="P54"/>
  <c r="U54" s="1"/>
  <c r="P53"/>
  <c r="O75"/>
  <c r="O71"/>
  <c r="O70"/>
  <c r="O68"/>
  <c r="O67"/>
  <c r="O65"/>
  <c r="O64"/>
  <c r="O61"/>
  <c r="O60"/>
  <c r="O59"/>
  <c r="O57"/>
  <c r="O55"/>
  <c r="O54"/>
  <c r="U53"/>
  <c r="O53"/>
  <c r="P52"/>
  <c r="U52" s="1"/>
  <c r="O52"/>
  <c r="P51"/>
  <c r="U51" s="1"/>
  <c r="O51"/>
  <c r="P49"/>
  <c r="O49"/>
  <c r="P47"/>
  <c r="U47" s="1"/>
  <c r="O47"/>
  <c r="P45"/>
  <c r="O45"/>
  <c r="P43"/>
  <c r="U43" s="1"/>
  <c r="O43"/>
  <c r="R227" i="19"/>
  <c r="P227"/>
  <c r="I227"/>
  <c r="R226"/>
  <c r="R225"/>
  <c r="O225"/>
  <c r="K225"/>
  <c r="J225"/>
  <c r="C225"/>
  <c r="A225"/>
  <c r="R224"/>
  <c r="P224"/>
  <c r="Q224" s="1"/>
  <c r="O224"/>
  <c r="L224"/>
  <c r="M224" s="1"/>
  <c r="K224"/>
  <c r="C224"/>
  <c r="R223"/>
  <c r="R222"/>
  <c r="R221"/>
  <c r="O221"/>
  <c r="C221"/>
  <c r="P220"/>
  <c r="Q220" s="1"/>
  <c r="L220"/>
  <c r="P215"/>
  <c r="Q215" s="1"/>
  <c r="O215"/>
  <c r="L215"/>
  <c r="K215"/>
  <c r="J215"/>
  <c r="I215"/>
  <c r="E215"/>
  <c r="C215"/>
  <c r="A215"/>
  <c r="P214"/>
  <c r="Q214" s="1"/>
  <c r="O214"/>
  <c r="K214"/>
  <c r="J214"/>
  <c r="E214"/>
  <c r="F214" s="1"/>
  <c r="C214"/>
  <c r="A214"/>
  <c r="P213"/>
  <c r="Q213" s="1"/>
  <c r="O213"/>
  <c r="L213"/>
  <c r="M213" s="1"/>
  <c r="K213"/>
  <c r="J213"/>
  <c r="I213"/>
  <c r="E213"/>
  <c r="C213"/>
  <c r="A213"/>
  <c r="P212"/>
  <c r="Q212" s="1"/>
  <c r="O212"/>
  <c r="L212"/>
  <c r="M212" s="1"/>
  <c r="K212"/>
  <c r="J212"/>
  <c r="N212" s="1"/>
  <c r="I212"/>
  <c r="H212"/>
  <c r="E212"/>
  <c r="F212" s="1"/>
  <c r="D212"/>
  <c r="C212"/>
  <c r="A212"/>
  <c r="P211"/>
  <c r="Q211" s="1"/>
  <c r="O211"/>
  <c r="L211"/>
  <c r="M211" s="1"/>
  <c r="K211"/>
  <c r="J211"/>
  <c r="N211" s="1"/>
  <c r="I211"/>
  <c r="E211"/>
  <c r="C211"/>
  <c r="A211"/>
  <c r="P210"/>
  <c r="Q210" s="1"/>
  <c r="O210"/>
  <c r="L210"/>
  <c r="K210"/>
  <c r="J210"/>
  <c r="N210" s="1"/>
  <c r="I210"/>
  <c r="E210"/>
  <c r="C210"/>
  <c r="G210" s="1"/>
  <c r="A210"/>
  <c r="P209"/>
  <c r="Q209" s="1"/>
  <c r="O209"/>
  <c r="L209"/>
  <c r="M209" s="1"/>
  <c r="K209"/>
  <c r="J209"/>
  <c r="I209"/>
  <c r="E209"/>
  <c r="C209"/>
  <c r="A209"/>
  <c r="P208"/>
  <c r="Q208" s="1"/>
  <c r="O208"/>
  <c r="O216" s="1"/>
  <c r="L208"/>
  <c r="M208" s="1"/>
  <c r="J208"/>
  <c r="I208"/>
  <c r="E208"/>
  <c r="G208" s="1"/>
  <c r="C208"/>
  <c r="A208"/>
  <c r="O207"/>
  <c r="K207"/>
  <c r="J207"/>
  <c r="H207"/>
  <c r="D207"/>
  <c r="C207"/>
  <c r="A207"/>
  <c r="O206"/>
  <c r="K206"/>
  <c r="J206"/>
  <c r="H206"/>
  <c r="D206"/>
  <c r="C206"/>
  <c r="A206"/>
  <c r="A216" s="1"/>
  <c r="Q200"/>
  <c r="P200"/>
  <c r="O200"/>
  <c r="O202" s="1"/>
  <c r="K200"/>
  <c r="K227" s="1"/>
  <c r="J200"/>
  <c r="J227" s="1"/>
  <c r="E200"/>
  <c r="C200"/>
  <c r="C227" s="1"/>
  <c r="A200"/>
  <c r="A227" s="1"/>
  <c r="M199"/>
  <c r="G199"/>
  <c r="Q198"/>
  <c r="N198"/>
  <c r="M198"/>
  <c r="I198"/>
  <c r="I214" s="1"/>
  <c r="H198"/>
  <c r="G198"/>
  <c r="F198"/>
  <c r="D198"/>
  <c r="M197"/>
  <c r="G197"/>
  <c r="M196"/>
  <c r="M195"/>
  <c r="G195"/>
  <c r="M194"/>
  <c r="Q193"/>
  <c r="M193"/>
  <c r="L193"/>
  <c r="H193"/>
  <c r="F193"/>
  <c r="M192"/>
  <c r="M191"/>
  <c r="G191"/>
  <c r="Q190"/>
  <c r="M190"/>
  <c r="L190"/>
  <c r="H190"/>
  <c r="G190"/>
  <c r="F190"/>
  <c r="Q189"/>
  <c r="N189"/>
  <c r="M189"/>
  <c r="H189"/>
  <c r="G189"/>
  <c r="D189"/>
  <c r="F189" s="1"/>
  <c r="M188"/>
  <c r="G188"/>
  <c r="Q187"/>
  <c r="M187"/>
  <c r="L187"/>
  <c r="L200" s="1"/>
  <c r="H187"/>
  <c r="G187"/>
  <c r="F187"/>
  <c r="O184"/>
  <c r="O226" s="1"/>
  <c r="K184"/>
  <c r="K226" s="1"/>
  <c r="J184"/>
  <c r="J226" s="1"/>
  <c r="H184"/>
  <c r="H226" s="1"/>
  <c r="D184"/>
  <c r="D226" s="1"/>
  <c r="C184"/>
  <c r="C226" s="1"/>
  <c r="A184"/>
  <c r="A226" s="1"/>
  <c r="Q183"/>
  <c r="P183"/>
  <c r="M183"/>
  <c r="L183"/>
  <c r="N183" s="1"/>
  <c r="I183"/>
  <c r="F183"/>
  <c r="E183"/>
  <c r="G183" s="1"/>
  <c r="P182"/>
  <c r="Q182" s="1"/>
  <c r="N182"/>
  <c r="M182"/>
  <c r="L182"/>
  <c r="I182"/>
  <c r="G182"/>
  <c r="F182"/>
  <c r="E182"/>
  <c r="P181"/>
  <c r="Q181" s="1"/>
  <c r="N181"/>
  <c r="L181"/>
  <c r="M181" s="1"/>
  <c r="I181"/>
  <c r="E181"/>
  <c r="F181" s="1"/>
  <c r="Q180"/>
  <c r="P180"/>
  <c r="L180"/>
  <c r="M180" s="1"/>
  <c r="I180"/>
  <c r="E180"/>
  <c r="F180" s="1"/>
  <c r="Q179"/>
  <c r="P179"/>
  <c r="M179"/>
  <c r="L179"/>
  <c r="N179" s="1"/>
  <c r="I179"/>
  <c r="E179"/>
  <c r="G179" s="1"/>
  <c r="G178"/>
  <c r="P177"/>
  <c r="Q177" s="1"/>
  <c r="L177"/>
  <c r="L184" s="1"/>
  <c r="I177"/>
  <c r="G177"/>
  <c r="E177"/>
  <c r="F177" s="1"/>
  <c r="O174"/>
  <c r="K174"/>
  <c r="J174"/>
  <c r="E174"/>
  <c r="D174"/>
  <c r="D225" s="1"/>
  <c r="C174"/>
  <c r="A174"/>
  <c r="Q173"/>
  <c r="N173"/>
  <c r="M173"/>
  <c r="H173"/>
  <c r="G173"/>
  <c r="F173"/>
  <c r="D173"/>
  <c r="P172"/>
  <c r="Q172" s="1"/>
  <c r="N172"/>
  <c r="L172"/>
  <c r="M172" s="1"/>
  <c r="I172"/>
  <c r="G172"/>
  <c r="E172"/>
  <c r="F172" s="1"/>
  <c r="Q171"/>
  <c r="N171"/>
  <c r="M171"/>
  <c r="H171"/>
  <c r="G171"/>
  <c r="F171"/>
  <c r="D171"/>
  <c r="P170"/>
  <c r="Q170" s="1"/>
  <c r="N170"/>
  <c r="L170"/>
  <c r="M170" s="1"/>
  <c r="I170"/>
  <c r="I174" s="1"/>
  <c r="I225" s="1"/>
  <c r="G170"/>
  <c r="E170"/>
  <c r="F170" s="1"/>
  <c r="Q169"/>
  <c r="P169"/>
  <c r="P174" s="1"/>
  <c r="L169"/>
  <c r="M169" s="1"/>
  <c r="I169"/>
  <c r="I206" s="1"/>
  <c r="E169"/>
  <c r="F169" s="1"/>
  <c r="Q168"/>
  <c r="N168"/>
  <c r="M168"/>
  <c r="G168"/>
  <c r="F168"/>
  <c r="P167"/>
  <c r="Q167" s="1"/>
  <c r="N167"/>
  <c r="M167"/>
  <c r="L167"/>
  <c r="I167"/>
  <c r="G167"/>
  <c r="F167"/>
  <c r="E167"/>
  <c r="Q166"/>
  <c r="N166"/>
  <c r="M166"/>
  <c r="H166"/>
  <c r="G166"/>
  <c r="F166"/>
  <c r="D166"/>
  <c r="P165"/>
  <c r="Q165" s="1"/>
  <c r="N165"/>
  <c r="M165"/>
  <c r="L165"/>
  <c r="I165"/>
  <c r="G165"/>
  <c r="F165"/>
  <c r="E165"/>
  <c r="Q164"/>
  <c r="N164"/>
  <c r="M164"/>
  <c r="H164"/>
  <c r="G164"/>
  <c r="D164"/>
  <c r="F164" s="1"/>
  <c r="P163"/>
  <c r="Q163" s="1"/>
  <c r="N163"/>
  <c r="M163"/>
  <c r="L163"/>
  <c r="I163"/>
  <c r="G163"/>
  <c r="F163"/>
  <c r="E163"/>
  <c r="Q162"/>
  <c r="N162"/>
  <c r="M162"/>
  <c r="G162"/>
  <c r="D162"/>
  <c r="F162" s="1"/>
  <c r="Q161"/>
  <c r="P161"/>
  <c r="M161"/>
  <c r="L161"/>
  <c r="N161" s="1"/>
  <c r="I161"/>
  <c r="F161"/>
  <c r="E161"/>
  <c r="G161" s="1"/>
  <c r="Q160"/>
  <c r="N160"/>
  <c r="M160"/>
  <c r="H160"/>
  <c r="H174" s="1"/>
  <c r="H225" s="1"/>
  <c r="G160"/>
  <c r="D160"/>
  <c r="F160" s="1"/>
  <c r="Q159"/>
  <c r="P159"/>
  <c r="P206" s="1"/>
  <c r="M159"/>
  <c r="L159"/>
  <c r="N159" s="1"/>
  <c r="I159"/>
  <c r="F159"/>
  <c r="E159"/>
  <c r="G159" s="1"/>
  <c r="Q158"/>
  <c r="N158"/>
  <c r="M158"/>
  <c r="G158"/>
  <c r="D158"/>
  <c r="F158" s="1"/>
  <c r="Q155"/>
  <c r="P155"/>
  <c r="O155"/>
  <c r="M155"/>
  <c r="L155"/>
  <c r="N155" s="1"/>
  <c r="K155"/>
  <c r="J155"/>
  <c r="J224" s="1"/>
  <c r="I155"/>
  <c r="I224" s="1"/>
  <c r="E155"/>
  <c r="E224" s="1"/>
  <c r="C155"/>
  <c r="A155"/>
  <c r="A224" s="1"/>
  <c r="Q154"/>
  <c r="N154"/>
  <c r="M154"/>
  <c r="H154"/>
  <c r="G154"/>
  <c r="D154"/>
  <c r="F154" s="1"/>
  <c r="Q153"/>
  <c r="N153"/>
  <c r="M153"/>
  <c r="H153"/>
  <c r="G153"/>
  <c r="F153"/>
  <c r="D153"/>
  <c r="Q152"/>
  <c r="N152"/>
  <c r="M152"/>
  <c r="H152"/>
  <c r="G152"/>
  <c r="D152"/>
  <c r="F152" s="1"/>
  <c r="Q151"/>
  <c r="N151"/>
  <c r="M151"/>
  <c r="H151"/>
  <c r="G151"/>
  <c r="D151"/>
  <c r="F151" s="1"/>
  <c r="Q150"/>
  <c r="N150"/>
  <c r="M150"/>
  <c r="H150"/>
  <c r="G150"/>
  <c r="F150"/>
  <c r="D150"/>
  <c r="Q149"/>
  <c r="N149"/>
  <c r="M149"/>
  <c r="G149"/>
  <c r="D149"/>
  <c r="Q148"/>
  <c r="N148"/>
  <c r="M148"/>
  <c r="H148"/>
  <c r="G148"/>
  <c r="F148"/>
  <c r="D148"/>
  <c r="Q147"/>
  <c r="N147"/>
  <c r="M147"/>
  <c r="H147"/>
  <c r="G147"/>
  <c r="F147"/>
  <c r="D147"/>
  <c r="Q146"/>
  <c r="N146"/>
  <c r="M146"/>
  <c r="H146"/>
  <c r="G146"/>
  <c r="D146"/>
  <c r="F146" s="1"/>
  <c r="Q145"/>
  <c r="N145"/>
  <c r="M145"/>
  <c r="H145"/>
  <c r="G145"/>
  <c r="D145"/>
  <c r="F145" s="1"/>
  <c r="Q144"/>
  <c r="N144"/>
  <c r="M144"/>
  <c r="G144"/>
  <c r="D144"/>
  <c r="Q143"/>
  <c r="N143"/>
  <c r="M143"/>
  <c r="H143"/>
  <c r="G143"/>
  <c r="D143"/>
  <c r="F143" s="1"/>
  <c r="Q142"/>
  <c r="N142"/>
  <c r="M142"/>
  <c r="H142"/>
  <c r="G142"/>
  <c r="F142"/>
  <c r="D142"/>
  <c r="Q141"/>
  <c r="N141"/>
  <c r="M141"/>
  <c r="H141"/>
  <c r="G141"/>
  <c r="F141"/>
  <c r="D141"/>
  <c r="Q140"/>
  <c r="N140"/>
  <c r="M140"/>
  <c r="H140"/>
  <c r="G140"/>
  <c r="D140"/>
  <c r="F140" s="1"/>
  <c r="Q139"/>
  <c r="N139"/>
  <c r="M139"/>
  <c r="H139"/>
  <c r="G139"/>
  <c r="D139"/>
  <c r="F139" s="1"/>
  <c r="Q138"/>
  <c r="N138"/>
  <c r="M138"/>
  <c r="H138"/>
  <c r="G138"/>
  <c r="F138"/>
  <c r="D138"/>
  <c r="Q137"/>
  <c r="N137"/>
  <c r="M137"/>
  <c r="G137"/>
  <c r="D137"/>
  <c r="N136"/>
  <c r="H136"/>
  <c r="G136"/>
  <c r="D136"/>
  <c r="F136" s="1"/>
  <c r="Q135"/>
  <c r="N135"/>
  <c r="M135"/>
  <c r="H135"/>
  <c r="G135"/>
  <c r="D135"/>
  <c r="F135" s="1"/>
  <c r="Q134"/>
  <c r="N134"/>
  <c r="M134"/>
  <c r="H134"/>
  <c r="G134"/>
  <c r="F134"/>
  <c r="D134"/>
  <c r="Q133"/>
  <c r="N133"/>
  <c r="M133"/>
  <c r="H133"/>
  <c r="G133"/>
  <c r="F133"/>
  <c r="D133"/>
  <c r="Q132"/>
  <c r="N132"/>
  <c r="M132"/>
  <c r="H132"/>
  <c r="G132"/>
  <c r="D132"/>
  <c r="F132" s="1"/>
  <c r="Q131"/>
  <c r="N131"/>
  <c r="M131"/>
  <c r="H131"/>
  <c r="G131"/>
  <c r="D131"/>
  <c r="F131" s="1"/>
  <c r="Q130"/>
  <c r="N130"/>
  <c r="M130"/>
  <c r="H130"/>
  <c r="G130"/>
  <c r="F130"/>
  <c r="D130"/>
  <c r="Q129"/>
  <c r="N129"/>
  <c r="M129"/>
  <c r="H129"/>
  <c r="G129"/>
  <c r="D129"/>
  <c r="F129" s="1"/>
  <c r="Q128"/>
  <c r="N128"/>
  <c r="M128"/>
  <c r="H128"/>
  <c r="G128"/>
  <c r="D128"/>
  <c r="F128" s="1"/>
  <c r="Q127"/>
  <c r="N127"/>
  <c r="M127"/>
  <c r="H127"/>
  <c r="G127"/>
  <c r="D127"/>
  <c r="F127" s="1"/>
  <c r="Q126"/>
  <c r="N126"/>
  <c r="M126"/>
  <c r="H126"/>
  <c r="G126"/>
  <c r="F126"/>
  <c r="D126"/>
  <c r="Q125"/>
  <c r="N125"/>
  <c r="M125"/>
  <c r="H125"/>
  <c r="G125"/>
  <c r="F125"/>
  <c r="D125"/>
  <c r="Q124"/>
  <c r="N124"/>
  <c r="M124"/>
  <c r="H124"/>
  <c r="G124"/>
  <c r="D124"/>
  <c r="F124" s="1"/>
  <c r="Q123"/>
  <c r="N123"/>
  <c r="M123"/>
  <c r="H123"/>
  <c r="G123"/>
  <c r="F123"/>
  <c r="Q122"/>
  <c r="N122"/>
  <c r="M122"/>
  <c r="H122"/>
  <c r="G122"/>
  <c r="F122"/>
  <c r="D122"/>
  <c r="Q121"/>
  <c r="N121"/>
  <c r="M121"/>
  <c r="H121"/>
  <c r="G121"/>
  <c r="D121"/>
  <c r="F121" s="1"/>
  <c r="Q120"/>
  <c r="N120"/>
  <c r="M120"/>
  <c r="H120"/>
  <c r="G120"/>
  <c r="D120"/>
  <c r="F120" s="1"/>
  <c r="Q119"/>
  <c r="N119"/>
  <c r="M119"/>
  <c r="G119"/>
  <c r="F119"/>
  <c r="Q118"/>
  <c r="N118"/>
  <c r="M118"/>
  <c r="H118"/>
  <c r="G118"/>
  <c r="D118"/>
  <c r="F118" s="1"/>
  <c r="Q117"/>
  <c r="N117"/>
  <c r="M117"/>
  <c r="G117"/>
  <c r="F117"/>
  <c r="D117"/>
  <c r="Q116"/>
  <c r="N116"/>
  <c r="M116"/>
  <c r="H116"/>
  <c r="G116"/>
  <c r="D116"/>
  <c r="F116" s="1"/>
  <c r="Q115"/>
  <c r="N115"/>
  <c r="M115"/>
  <c r="H115"/>
  <c r="G115"/>
  <c r="D115"/>
  <c r="F115" s="1"/>
  <c r="Q114"/>
  <c r="N114"/>
  <c r="M114"/>
  <c r="H114"/>
  <c r="G114"/>
  <c r="D114"/>
  <c r="D155" s="1"/>
  <c r="D224" s="1"/>
  <c r="Q113"/>
  <c r="N113"/>
  <c r="M113"/>
  <c r="H113"/>
  <c r="G113"/>
  <c r="D113"/>
  <c r="F113" s="1"/>
  <c r="Q112"/>
  <c r="M112"/>
  <c r="H112"/>
  <c r="G112"/>
  <c r="D112"/>
  <c r="Q111"/>
  <c r="N111"/>
  <c r="M111"/>
  <c r="H111"/>
  <c r="G111"/>
  <c r="D111"/>
  <c r="F111" s="1"/>
  <c r="Q110"/>
  <c r="N110"/>
  <c r="M110"/>
  <c r="H110"/>
  <c r="G110"/>
  <c r="D110"/>
  <c r="F110" s="1"/>
  <c r="Q109"/>
  <c r="N109"/>
  <c r="M109"/>
  <c r="H109"/>
  <c r="G109"/>
  <c r="F109"/>
  <c r="D109"/>
  <c r="Q108"/>
  <c r="N108"/>
  <c r="M108"/>
  <c r="H108"/>
  <c r="G108"/>
  <c r="F108"/>
  <c r="D108"/>
  <c r="Q107"/>
  <c r="N107"/>
  <c r="M107"/>
  <c r="H107"/>
  <c r="G107"/>
  <c r="D107"/>
  <c r="F107" s="1"/>
  <c r="Q106"/>
  <c r="N106"/>
  <c r="M106"/>
  <c r="H106"/>
  <c r="G106"/>
  <c r="D106"/>
  <c r="F106" s="1"/>
  <c r="Q103"/>
  <c r="P103"/>
  <c r="P223" s="1"/>
  <c r="Q223" s="1"/>
  <c r="O103"/>
  <c r="O223" s="1"/>
  <c r="M103"/>
  <c r="L103"/>
  <c r="N103" s="1"/>
  <c r="K103"/>
  <c r="K223" s="1"/>
  <c r="J103"/>
  <c r="J223" s="1"/>
  <c r="I103"/>
  <c r="I223" s="1"/>
  <c r="E103"/>
  <c r="C103"/>
  <c r="C223" s="1"/>
  <c r="A103"/>
  <c r="A223" s="1"/>
  <c r="Q102"/>
  <c r="N102"/>
  <c r="M102"/>
  <c r="H102"/>
  <c r="G102"/>
  <c r="D102"/>
  <c r="F102" s="1"/>
  <c r="Q101"/>
  <c r="N101"/>
  <c r="M101"/>
  <c r="H101"/>
  <c r="G101"/>
  <c r="F101"/>
  <c r="D101"/>
  <c r="T100"/>
  <c r="Q100"/>
  <c r="N100"/>
  <c r="M100"/>
  <c r="H100"/>
  <c r="G100"/>
  <c r="F100"/>
  <c r="D100"/>
  <c r="Q99"/>
  <c r="N99"/>
  <c r="M99"/>
  <c r="H99"/>
  <c r="G99"/>
  <c r="D99"/>
  <c r="F99" s="1"/>
  <c r="Q98"/>
  <c r="N98"/>
  <c r="M98"/>
  <c r="H98"/>
  <c r="G98"/>
  <c r="D98"/>
  <c r="F98" s="1"/>
  <c r="Q97"/>
  <c r="N97"/>
  <c r="M97"/>
  <c r="H97"/>
  <c r="G97"/>
  <c r="F97"/>
  <c r="D97"/>
  <c r="Q96"/>
  <c r="N96"/>
  <c r="M96"/>
  <c r="H96"/>
  <c r="G96"/>
  <c r="D96"/>
  <c r="F96" s="1"/>
  <c r="Q95"/>
  <c r="N95"/>
  <c r="M95"/>
  <c r="G95"/>
  <c r="F95"/>
  <c r="Q94"/>
  <c r="N94"/>
  <c r="M94"/>
  <c r="H94"/>
  <c r="G94"/>
  <c r="D94"/>
  <c r="F94" s="1"/>
  <c r="Q93"/>
  <c r="N93"/>
  <c r="M93"/>
  <c r="H93"/>
  <c r="G93"/>
  <c r="D93"/>
  <c r="F93" s="1"/>
  <c r="Q92"/>
  <c r="N92"/>
  <c r="M92"/>
  <c r="H92"/>
  <c r="G92"/>
  <c r="D92"/>
  <c r="F92" s="1"/>
  <c r="Q91"/>
  <c r="N91"/>
  <c r="M91"/>
  <c r="H91"/>
  <c r="G91"/>
  <c r="F91"/>
  <c r="D91"/>
  <c r="Q90"/>
  <c r="N90"/>
  <c r="M90"/>
  <c r="H90"/>
  <c r="G90"/>
  <c r="F90"/>
  <c r="D90"/>
  <c r="Q89"/>
  <c r="N89"/>
  <c r="M89"/>
  <c r="H89"/>
  <c r="G89"/>
  <c r="D89"/>
  <c r="F89" s="1"/>
  <c r="Q88"/>
  <c r="N88"/>
  <c r="M88"/>
  <c r="H88"/>
  <c r="G88"/>
  <c r="D88"/>
  <c r="F88" s="1"/>
  <c r="Q87"/>
  <c r="N87"/>
  <c r="M87"/>
  <c r="H87"/>
  <c r="G87"/>
  <c r="F87"/>
  <c r="D87"/>
  <c r="Q85"/>
  <c r="N85"/>
  <c r="M85"/>
  <c r="H85"/>
  <c r="G85"/>
  <c r="D85"/>
  <c r="F85" s="1"/>
  <c r="Q84"/>
  <c r="N84"/>
  <c r="M84"/>
  <c r="H84"/>
  <c r="G84"/>
  <c r="D84"/>
  <c r="F84" s="1"/>
  <c r="Q83"/>
  <c r="N83"/>
  <c r="M83"/>
  <c r="H83"/>
  <c r="G83"/>
  <c r="D83"/>
  <c r="F83" s="1"/>
  <c r="Q82"/>
  <c r="N82"/>
  <c r="M82"/>
  <c r="H82"/>
  <c r="H213" s="1"/>
  <c r="G82"/>
  <c r="F82"/>
  <c r="D82"/>
  <c r="Q81"/>
  <c r="N81"/>
  <c r="M81"/>
  <c r="H81"/>
  <c r="H215" s="1"/>
  <c r="G81"/>
  <c r="F81"/>
  <c r="D81"/>
  <c r="Q80"/>
  <c r="N80"/>
  <c r="M80"/>
  <c r="H80"/>
  <c r="G80"/>
  <c r="D80"/>
  <c r="F80" s="1"/>
  <c r="Q77"/>
  <c r="P77"/>
  <c r="P222" s="1"/>
  <c r="Q222" s="1"/>
  <c r="O77"/>
  <c r="O222" s="1"/>
  <c r="K77"/>
  <c r="K222" s="1"/>
  <c r="J77"/>
  <c r="J222" s="1"/>
  <c r="I77"/>
  <c r="I222" s="1"/>
  <c r="E77"/>
  <c r="G77" s="1"/>
  <c r="C77"/>
  <c r="C222" s="1"/>
  <c r="A77"/>
  <c r="A222" s="1"/>
  <c r="G76"/>
  <c r="Q75"/>
  <c r="M75"/>
  <c r="L75"/>
  <c r="N75" s="1"/>
  <c r="G75"/>
  <c r="F75"/>
  <c r="Q74"/>
  <c r="N74"/>
  <c r="M74"/>
  <c r="H74"/>
  <c r="G74"/>
  <c r="F74"/>
  <c r="D74"/>
  <c r="Q73"/>
  <c r="N73"/>
  <c r="M73"/>
  <c r="H73"/>
  <c r="G73"/>
  <c r="F73"/>
  <c r="D73"/>
  <c r="Q72"/>
  <c r="N72"/>
  <c r="M72"/>
  <c r="H72"/>
  <c r="H209" s="1"/>
  <c r="G72"/>
  <c r="D72"/>
  <c r="Q71"/>
  <c r="L71"/>
  <c r="M71" s="1"/>
  <c r="G71"/>
  <c r="D71"/>
  <c r="F71" s="1"/>
  <c r="Q70"/>
  <c r="N70"/>
  <c r="L70"/>
  <c r="M70" s="1"/>
  <c r="H70"/>
  <c r="G70"/>
  <c r="D70"/>
  <c r="F70" s="1"/>
  <c r="Q69"/>
  <c r="N69"/>
  <c r="M69"/>
  <c r="H69"/>
  <c r="G69"/>
  <c r="D69"/>
  <c r="F69" s="1"/>
  <c r="Q68"/>
  <c r="N68"/>
  <c r="M68"/>
  <c r="L68"/>
  <c r="H68"/>
  <c r="G68"/>
  <c r="D68"/>
  <c r="F68" s="1"/>
  <c r="Q67"/>
  <c r="N67"/>
  <c r="M67"/>
  <c r="H67"/>
  <c r="G67"/>
  <c r="D67"/>
  <c r="F67" s="1"/>
  <c r="Q66"/>
  <c r="N66"/>
  <c r="M66"/>
  <c r="H66"/>
  <c r="G66"/>
  <c r="D66"/>
  <c r="F66" s="1"/>
  <c r="Q65"/>
  <c r="L65"/>
  <c r="M65" s="1"/>
  <c r="H65"/>
  <c r="G65"/>
  <c r="D65"/>
  <c r="F65" s="1"/>
  <c r="Q64"/>
  <c r="N64"/>
  <c r="M64"/>
  <c r="G64"/>
  <c r="D64"/>
  <c r="F64" s="1"/>
  <c r="Q63"/>
  <c r="N63"/>
  <c r="M63"/>
  <c r="H63"/>
  <c r="G63"/>
  <c r="D63"/>
  <c r="F63" s="1"/>
  <c r="G62"/>
  <c r="Q61"/>
  <c r="N61"/>
  <c r="M61"/>
  <c r="H61"/>
  <c r="G61"/>
  <c r="D61"/>
  <c r="F61" s="1"/>
  <c r="Q60"/>
  <c r="N60"/>
  <c r="M60"/>
  <c r="H60"/>
  <c r="G60"/>
  <c r="D60"/>
  <c r="F60" s="1"/>
  <c r="Q59"/>
  <c r="N59"/>
  <c r="M59"/>
  <c r="H59"/>
  <c r="G59"/>
  <c r="F59"/>
  <c r="Q58"/>
  <c r="N58"/>
  <c r="M58"/>
  <c r="H58"/>
  <c r="G58"/>
  <c r="F58"/>
  <c r="D58"/>
  <c r="Q57"/>
  <c r="M57"/>
  <c r="L57"/>
  <c r="N57" s="1"/>
  <c r="H57"/>
  <c r="G57"/>
  <c r="F57"/>
  <c r="D57"/>
  <c r="Q56"/>
  <c r="N56"/>
  <c r="M56"/>
  <c r="G56"/>
  <c r="F56"/>
  <c r="Q55"/>
  <c r="N55"/>
  <c r="M55"/>
  <c r="H55"/>
  <c r="G55"/>
  <c r="F55"/>
  <c r="D55"/>
  <c r="H54"/>
  <c r="G54"/>
  <c r="D54"/>
  <c r="Q53"/>
  <c r="N53"/>
  <c r="M53"/>
  <c r="G53"/>
  <c r="Q52"/>
  <c r="N52"/>
  <c r="M52"/>
  <c r="H52"/>
  <c r="G52"/>
  <c r="F52"/>
  <c r="Q51"/>
  <c r="N51"/>
  <c r="M51"/>
  <c r="H51"/>
  <c r="G51"/>
  <c r="F51"/>
  <c r="D51"/>
  <c r="Q50"/>
  <c r="M50"/>
  <c r="L50"/>
  <c r="N50" s="1"/>
  <c r="G50"/>
  <c r="F50"/>
  <c r="Q49"/>
  <c r="N49"/>
  <c r="L49"/>
  <c r="L77" s="1"/>
  <c r="H49"/>
  <c r="G49"/>
  <c r="D49"/>
  <c r="F49" s="1"/>
  <c r="Q48"/>
  <c r="N48"/>
  <c r="M48"/>
  <c r="H48"/>
  <c r="G48"/>
  <c r="D48"/>
  <c r="F48" s="1"/>
  <c r="Q47"/>
  <c r="N47"/>
  <c r="M47"/>
  <c r="G47"/>
  <c r="D47"/>
  <c r="F47" s="1"/>
  <c r="Q46"/>
  <c r="N46"/>
  <c r="M46"/>
  <c r="H46"/>
  <c r="G46"/>
  <c r="F46"/>
  <c r="Q45"/>
  <c r="N45"/>
  <c r="M45"/>
  <c r="H45"/>
  <c r="G45"/>
  <c r="F45"/>
  <c r="G44"/>
  <c r="Q43"/>
  <c r="N43"/>
  <c r="M43"/>
  <c r="H43"/>
  <c r="G43"/>
  <c r="D43"/>
  <c r="F43" s="1"/>
  <c r="Q40"/>
  <c r="P40"/>
  <c r="P221" s="1"/>
  <c r="Q221" s="1"/>
  <c r="O40"/>
  <c r="L40"/>
  <c r="L221" s="1"/>
  <c r="J40"/>
  <c r="J221" s="1"/>
  <c r="I40"/>
  <c r="E40"/>
  <c r="G40" s="1"/>
  <c r="C40"/>
  <c r="C202" s="1"/>
  <c r="A40"/>
  <c r="A221" s="1"/>
  <c r="M39"/>
  <c r="G39"/>
  <c r="Q38"/>
  <c r="N38"/>
  <c r="M38"/>
  <c r="K38"/>
  <c r="H38"/>
  <c r="G38"/>
  <c r="F38"/>
  <c r="D38"/>
  <c r="M37"/>
  <c r="G37"/>
  <c r="M36"/>
  <c r="G36"/>
  <c r="Q35"/>
  <c r="N35"/>
  <c r="M35"/>
  <c r="K35"/>
  <c r="H35"/>
  <c r="G35"/>
  <c r="F35"/>
  <c r="D35"/>
  <c r="Q34"/>
  <c r="N34"/>
  <c r="M34"/>
  <c r="K34"/>
  <c r="H34"/>
  <c r="G34"/>
  <c r="F34"/>
  <c r="D34"/>
  <c r="Q33"/>
  <c r="N33"/>
  <c r="M33"/>
  <c r="K33"/>
  <c r="H33"/>
  <c r="G33"/>
  <c r="F33"/>
  <c r="D33"/>
  <c r="Q32"/>
  <c r="N32"/>
  <c r="M32"/>
  <c r="K32"/>
  <c r="H32"/>
  <c r="G32"/>
  <c r="F32"/>
  <c r="D32"/>
  <c r="Q31"/>
  <c r="M31"/>
  <c r="K31"/>
  <c r="H31"/>
  <c r="G31"/>
  <c r="F31"/>
  <c r="D31"/>
  <c r="M30"/>
  <c r="G30"/>
  <c r="M29"/>
  <c r="G29"/>
  <c r="Q28"/>
  <c r="N28"/>
  <c r="M28"/>
  <c r="K28"/>
  <c r="H28"/>
  <c r="G28"/>
  <c r="F28"/>
  <c r="D28"/>
  <c r="Q27"/>
  <c r="N27"/>
  <c r="M27"/>
  <c r="K27"/>
  <c r="H27"/>
  <c r="G27"/>
  <c r="F27"/>
  <c r="D27"/>
  <c r="Q26"/>
  <c r="N26"/>
  <c r="M26"/>
  <c r="H26"/>
  <c r="G26"/>
  <c r="D26"/>
  <c r="M25"/>
  <c r="G25"/>
  <c r="Q24"/>
  <c r="N24"/>
  <c r="M24"/>
  <c r="K24"/>
  <c r="H24"/>
  <c r="G24"/>
  <c r="F24"/>
  <c r="D24"/>
  <c r="M23"/>
  <c r="G23"/>
  <c r="Q22"/>
  <c r="N22"/>
  <c r="K22"/>
  <c r="M22" s="1"/>
  <c r="H22"/>
  <c r="G22"/>
  <c r="D22"/>
  <c r="F22" s="1"/>
  <c r="Q21"/>
  <c r="N21"/>
  <c r="K21"/>
  <c r="M21" s="1"/>
  <c r="H21"/>
  <c r="G21"/>
  <c r="D21"/>
  <c r="F21" s="1"/>
  <c r="Q20"/>
  <c r="N20"/>
  <c r="M20"/>
  <c r="H20"/>
  <c r="G20"/>
  <c r="F20"/>
  <c r="D20"/>
  <c r="Q19"/>
  <c r="N19"/>
  <c r="M19"/>
  <c r="K19"/>
  <c r="H19"/>
  <c r="G19"/>
  <c r="F19"/>
  <c r="D19"/>
  <c r="Q18"/>
  <c r="N18"/>
  <c r="M18"/>
  <c r="K18"/>
  <c r="H18"/>
  <c r="G18"/>
  <c r="F18"/>
  <c r="D18"/>
  <c r="Q17"/>
  <c r="N17"/>
  <c r="M17"/>
  <c r="K17"/>
  <c r="H17"/>
  <c r="G17"/>
  <c r="F17"/>
  <c r="D17"/>
  <c r="M16"/>
  <c r="G16"/>
  <c r="Q15"/>
  <c r="N15"/>
  <c r="M15"/>
  <c r="H15"/>
  <c r="G15"/>
  <c r="D15"/>
  <c r="F15" s="1"/>
  <c r="M14"/>
  <c r="G14"/>
  <c r="M13"/>
  <c r="G13"/>
  <c r="Q12"/>
  <c r="N12"/>
  <c r="K12"/>
  <c r="M12" s="1"/>
  <c r="H12"/>
  <c r="G12"/>
  <c r="D12"/>
  <c r="D208" s="1"/>
  <c r="F208" s="1"/>
  <c r="M11"/>
  <c r="G11"/>
  <c r="Q10"/>
  <c r="N10"/>
  <c r="M10"/>
  <c r="K10"/>
  <c r="H10"/>
  <c r="G10"/>
  <c r="F10"/>
  <c r="D10"/>
  <c r="P7"/>
  <c r="Q7" s="1"/>
  <c r="O7"/>
  <c r="O220" s="1"/>
  <c r="L7"/>
  <c r="M7" s="1"/>
  <c r="K7"/>
  <c r="K220" s="1"/>
  <c r="J7"/>
  <c r="N7" s="1"/>
  <c r="I7"/>
  <c r="I220" s="1"/>
  <c r="E7"/>
  <c r="E220" s="1"/>
  <c r="C7"/>
  <c r="C220" s="1"/>
  <c r="C228" s="1"/>
  <c r="C216" s="1"/>
  <c r="A7"/>
  <c r="R220" s="1"/>
  <c r="R228" s="1"/>
  <c r="Q6"/>
  <c r="N6"/>
  <c r="M6"/>
  <c r="H6"/>
  <c r="G6"/>
  <c r="D6"/>
  <c r="U49" i="2"/>
  <c r="U68"/>
  <c r="U67"/>
  <c r="U45"/>
  <c r="U200"/>
  <c r="U195"/>
  <c r="U192"/>
  <c r="U70"/>
  <c r="U64"/>
  <c r="U59"/>
  <c r="U57"/>
  <c r="D210" i="19" l="1"/>
  <c r="F210" s="1"/>
  <c r="I184"/>
  <c r="I226" s="1"/>
  <c r="G209"/>
  <c r="D40"/>
  <c r="K40"/>
  <c r="K202" s="1"/>
  <c r="H208"/>
  <c r="H216" s="1"/>
  <c r="H214"/>
  <c r="H103"/>
  <c r="H223" s="1"/>
  <c r="H200"/>
  <c r="H227" s="1"/>
  <c r="N208"/>
  <c r="N209"/>
  <c r="G212"/>
  <c r="G213"/>
  <c r="G215"/>
  <c r="H77"/>
  <c r="H222" s="1"/>
  <c r="H211"/>
  <c r="K216"/>
  <c r="G214"/>
  <c r="D215"/>
  <c r="F215" s="1"/>
  <c r="H210"/>
  <c r="H40"/>
  <c r="H221" s="1"/>
  <c r="D209"/>
  <c r="F209" s="1"/>
  <c r="D213"/>
  <c r="F213" s="1"/>
  <c r="H155"/>
  <c r="H224" s="1"/>
  <c r="D211"/>
  <c r="F211" s="1"/>
  <c r="F174"/>
  <c r="N177"/>
  <c r="F179"/>
  <c r="G181"/>
  <c r="M210"/>
  <c r="G211"/>
  <c r="N213"/>
  <c r="M215"/>
  <c r="D221"/>
  <c r="F40"/>
  <c r="P225"/>
  <c r="Q225" s="1"/>
  <c r="Q174"/>
  <c r="N221"/>
  <c r="F224"/>
  <c r="G224"/>
  <c r="Q206"/>
  <c r="L226"/>
  <c r="M184"/>
  <c r="N184"/>
  <c r="M220"/>
  <c r="K221"/>
  <c r="M221" s="1"/>
  <c r="G220"/>
  <c r="N77"/>
  <c r="L222"/>
  <c r="M77"/>
  <c r="M200"/>
  <c r="L227"/>
  <c r="N200"/>
  <c r="G7"/>
  <c r="N40"/>
  <c r="A202"/>
  <c r="J202"/>
  <c r="E223"/>
  <c r="E227"/>
  <c r="P230"/>
  <c r="L174"/>
  <c r="E184"/>
  <c r="D200"/>
  <c r="D227" s="1"/>
  <c r="E202"/>
  <c r="I207"/>
  <c r="I216" s="1"/>
  <c r="E222"/>
  <c r="L223"/>
  <c r="F12"/>
  <c r="M49"/>
  <c r="N65"/>
  <c r="N71"/>
  <c r="D77"/>
  <c r="G103"/>
  <c r="G155"/>
  <c r="G169"/>
  <c r="N169"/>
  <c r="G174"/>
  <c r="M177"/>
  <c r="G180"/>
  <c r="N180"/>
  <c r="P184"/>
  <c r="G200"/>
  <c r="L206"/>
  <c r="L207"/>
  <c r="P207"/>
  <c r="Q207" s="1"/>
  <c r="N215"/>
  <c r="A220"/>
  <c r="A228" s="1"/>
  <c r="J220"/>
  <c r="J228" s="1"/>
  <c r="J216" s="1"/>
  <c r="E221"/>
  <c r="I221"/>
  <c r="N224"/>
  <c r="E225"/>
  <c r="O227"/>
  <c r="Q227" s="1"/>
  <c r="L214"/>
  <c r="D103"/>
  <c r="D223" s="1"/>
  <c r="E206"/>
  <c r="E207"/>
  <c r="F6"/>
  <c r="D7"/>
  <c r="H7"/>
  <c r="H220" s="1"/>
  <c r="F72"/>
  <c r="F155"/>
  <c r="D202" l="1"/>
  <c r="F202" s="1"/>
  <c r="K228"/>
  <c r="M40"/>
  <c r="F103"/>
  <c r="I228"/>
  <c r="I202"/>
  <c r="G207"/>
  <c r="F207"/>
  <c r="M206"/>
  <c r="L216"/>
  <c r="N206"/>
  <c r="M222"/>
  <c r="N222"/>
  <c r="M207"/>
  <c r="N207"/>
  <c r="Q184"/>
  <c r="P226"/>
  <c r="L225"/>
  <c r="N174"/>
  <c r="M174"/>
  <c r="M226"/>
  <c r="N226"/>
  <c r="F7"/>
  <c r="D220"/>
  <c r="F225"/>
  <c r="G225"/>
  <c r="G222"/>
  <c r="G184"/>
  <c r="E226"/>
  <c r="F184"/>
  <c r="F227"/>
  <c r="G227"/>
  <c r="N220"/>
  <c r="F200"/>
  <c r="O228"/>
  <c r="H202"/>
  <c r="M214"/>
  <c r="N214"/>
  <c r="L230"/>
  <c r="F77"/>
  <c r="D222"/>
  <c r="F222" s="1"/>
  <c r="G202"/>
  <c r="F223"/>
  <c r="G223"/>
  <c r="G206"/>
  <c r="F206"/>
  <c r="F221"/>
  <c r="G221"/>
  <c r="N223"/>
  <c r="M223"/>
  <c r="N227"/>
  <c r="M227"/>
  <c r="H228"/>
  <c r="L202"/>
  <c r="L228"/>
  <c r="P202"/>
  <c r="Q202" s="1"/>
  <c r="P216"/>
  <c r="Q216" s="1"/>
  <c r="D228" l="1"/>
  <c r="D216" s="1"/>
  <c r="F220"/>
  <c r="M202"/>
  <c r="N202"/>
  <c r="M228"/>
  <c r="N228"/>
  <c r="Q226"/>
  <c r="P228"/>
  <c r="Q228" s="1"/>
  <c r="G226"/>
  <c r="F226"/>
  <c r="E228"/>
  <c r="M225"/>
  <c r="N225"/>
  <c r="M216"/>
  <c r="N216"/>
  <c r="E216" l="1"/>
  <c r="F228"/>
  <c r="G228"/>
  <c r="F216" l="1"/>
  <c r="G216"/>
  <c r="G11" i="17" l="1"/>
  <c r="E13"/>
  <c r="L51" l="1"/>
  <c r="L50"/>
  <c r="L48"/>
  <c r="L47"/>
  <c r="L45"/>
  <c r="L44"/>
  <c r="L43"/>
  <c r="L42"/>
  <c r="L41"/>
  <c r="L40"/>
  <c r="L39"/>
  <c r="L38"/>
  <c r="L37"/>
  <c r="L35"/>
  <c r="L34"/>
  <c r="L32"/>
  <c r="L31"/>
  <c r="L29"/>
  <c r="L28"/>
  <c r="L26"/>
  <c r="L25"/>
  <c r="L24"/>
  <c r="L23"/>
  <c r="L22"/>
  <c r="L21"/>
  <c r="L19"/>
  <c r="L18"/>
  <c r="L16"/>
  <c r="L15"/>
  <c r="L13"/>
  <c r="L12"/>
  <c r="K26" l="1"/>
  <c r="K25"/>
  <c r="K27" s="1"/>
  <c r="K24"/>
  <c r="K51"/>
  <c r="K50"/>
  <c r="K48"/>
  <c r="K47"/>
  <c r="K45"/>
  <c r="K44"/>
  <c r="K43"/>
  <c r="K42"/>
  <c r="K41"/>
  <c r="K40"/>
  <c r="K39"/>
  <c r="K38"/>
  <c r="K37"/>
  <c r="K32"/>
  <c r="K35" s="1"/>
  <c r="K31"/>
  <c r="K34" s="1"/>
  <c r="K29"/>
  <c r="K28"/>
  <c r="K23"/>
  <c r="K22"/>
  <c r="K21"/>
  <c r="K19"/>
  <c r="K18"/>
  <c r="K16"/>
  <c r="K15"/>
  <c r="J51" l="1"/>
  <c r="J50"/>
  <c r="J48"/>
  <c r="J47"/>
  <c r="J45"/>
  <c r="J44"/>
  <c r="J43"/>
  <c r="J42"/>
  <c r="J41"/>
  <c r="J40"/>
  <c r="J39"/>
  <c r="J38"/>
  <c r="J37"/>
  <c r="J35"/>
  <c r="J34"/>
  <c r="J32"/>
  <c r="J31"/>
  <c r="J29"/>
  <c r="J28"/>
  <c r="J26"/>
  <c r="J25"/>
  <c r="J24"/>
  <c r="J23"/>
  <c r="J22"/>
  <c r="J21"/>
  <c r="J19"/>
  <c r="J18"/>
  <c r="J16"/>
  <c r="J15"/>
  <c r="J13"/>
  <c r="J12"/>
  <c r="J10"/>
  <c r="J9"/>
  <c r="J8"/>
  <c r="H51" l="1"/>
  <c r="H50"/>
  <c r="H48"/>
  <c r="H47"/>
  <c r="H45"/>
  <c r="H44"/>
  <c r="H43"/>
  <c r="H42"/>
  <c r="H41"/>
  <c r="H40"/>
  <c r="H39"/>
  <c r="H38"/>
  <c r="H37"/>
  <c r="H35"/>
  <c r="H34"/>
  <c r="H32"/>
  <c r="H31"/>
  <c r="H29"/>
  <c r="H28"/>
  <c r="H26"/>
  <c r="H25"/>
  <c r="H24"/>
  <c r="H23"/>
  <c r="H22"/>
  <c r="H21"/>
  <c r="H18"/>
  <c r="H16"/>
  <c r="H15"/>
  <c r="H13"/>
  <c r="H12"/>
  <c r="H10"/>
  <c r="H9"/>
  <c r="H8"/>
  <c r="H17" l="1"/>
  <c r="G51"/>
  <c r="G50"/>
  <c r="G48"/>
  <c r="G47"/>
  <c r="G45"/>
  <c r="G44"/>
  <c r="G43"/>
  <c r="G42"/>
  <c r="G41"/>
  <c r="G40"/>
  <c r="G39"/>
  <c r="G38"/>
  <c r="G37"/>
  <c r="G35"/>
  <c r="G34"/>
  <c r="G32"/>
  <c r="G31"/>
  <c r="G29"/>
  <c r="G28"/>
  <c r="G26"/>
  <c r="G25"/>
  <c r="G24"/>
  <c r="G23"/>
  <c r="G22"/>
  <c r="G21"/>
  <c r="G19"/>
  <c r="G18"/>
  <c r="G16"/>
  <c r="G15"/>
  <c r="G13"/>
  <c r="G12"/>
  <c r="G10"/>
  <c r="G9"/>
  <c r="G8"/>
  <c r="F51" l="1"/>
  <c r="F50"/>
  <c r="F48"/>
  <c r="F47"/>
  <c r="F45"/>
  <c r="F44"/>
  <c r="F43"/>
  <c r="F42"/>
  <c r="F41"/>
  <c r="F40"/>
  <c r="F39"/>
  <c r="F38"/>
  <c r="F37"/>
  <c r="F35"/>
  <c r="F34"/>
  <c r="F32"/>
  <c r="F31"/>
  <c r="F29"/>
  <c r="F28"/>
  <c r="F26"/>
  <c r="F25"/>
  <c r="F24"/>
  <c r="F23"/>
  <c r="F22"/>
  <c r="F21"/>
  <c r="F19"/>
  <c r="F18"/>
  <c r="F16"/>
  <c r="F15"/>
  <c r="F13"/>
  <c r="F12"/>
  <c r="F10"/>
  <c r="F9"/>
  <c r="F8"/>
  <c r="E51" l="1"/>
  <c r="E50"/>
  <c r="E48"/>
  <c r="E47"/>
  <c r="E45"/>
  <c r="E44"/>
  <c r="E43"/>
  <c r="E42"/>
  <c r="E41"/>
  <c r="E40"/>
  <c r="E39"/>
  <c r="E38"/>
  <c r="E37"/>
  <c r="E35"/>
  <c r="E34"/>
  <c r="E32"/>
  <c r="E31"/>
  <c r="E29"/>
  <c r="E28"/>
  <c r="E26"/>
  <c r="E25"/>
  <c r="E24"/>
  <c r="E23"/>
  <c r="E22"/>
  <c r="E21"/>
  <c r="E19"/>
  <c r="E18"/>
  <c r="E16"/>
  <c r="E15"/>
  <c r="E12"/>
  <c r="E10"/>
  <c r="E9"/>
  <c r="T15" s="1"/>
  <c r="E8"/>
  <c r="K77" i="2"/>
  <c r="K224" s="1"/>
  <c r="C176"/>
  <c r="C157"/>
  <c r="A157"/>
  <c r="A77"/>
  <c r="A104"/>
  <c r="O104"/>
  <c r="K104"/>
  <c r="K225" s="1"/>
  <c r="J104"/>
  <c r="C104"/>
  <c r="J77"/>
  <c r="H74"/>
  <c r="C77"/>
  <c r="P38"/>
  <c r="P35"/>
  <c r="P34"/>
  <c r="P33"/>
  <c r="P31"/>
  <c r="P28"/>
  <c r="P27"/>
  <c r="P24"/>
  <c r="P22"/>
  <c r="P21"/>
  <c r="P19"/>
  <c r="P18"/>
  <c r="P17"/>
  <c r="P12"/>
  <c r="L12"/>
  <c r="L38"/>
  <c r="L35"/>
  <c r="L34"/>
  <c r="L33"/>
  <c r="L31"/>
  <c r="L28"/>
  <c r="L27"/>
  <c r="L24"/>
  <c r="L22"/>
  <c r="L21"/>
  <c r="L19"/>
  <c r="L18"/>
  <c r="L17"/>
  <c r="T14" i="17" l="1"/>
  <c r="E14"/>
  <c r="P210" i="2"/>
  <c r="U100"/>
  <c r="U85"/>
  <c r="U81"/>
  <c r="U103" l="1"/>
  <c r="T195" l="1"/>
  <c r="T192"/>
  <c r="T189"/>
  <c r="T75"/>
  <c r="T71"/>
  <c r="T70"/>
  <c r="T68"/>
  <c r="T65"/>
  <c r="T64"/>
  <c r="T61"/>
  <c r="T60"/>
  <c r="T59"/>
  <c r="T57"/>
  <c r="T54"/>
  <c r="T53"/>
  <c r="T52"/>
  <c r="T51"/>
  <c r="T49"/>
  <c r="T47"/>
  <c r="T45"/>
  <c r="R232"/>
  <c r="D232"/>
  <c r="W114"/>
  <c r="W102"/>
  <c r="W101"/>
  <c r="W99"/>
  <c r="W98"/>
  <c r="W93"/>
  <c r="W91"/>
  <c r="W90"/>
  <c r="W83"/>
  <c r="W80"/>
  <c r="W74"/>
  <c r="W73"/>
  <c r="W69"/>
  <c r="W66"/>
  <c r="W63"/>
  <c r="W58"/>
  <c r="W48"/>
  <c r="W46"/>
  <c r="W32"/>
  <c r="W26"/>
  <c r="W20"/>
  <c r="W15"/>
  <c r="E154" l="1"/>
  <c r="E153"/>
  <c r="E152"/>
  <c r="E150"/>
  <c r="E148"/>
  <c r="E146"/>
  <c r="E142"/>
  <c r="E141"/>
  <c r="E140"/>
  <c r="E139"/>
  <c r="E137"/>
  <c r="E135"/>
  <c r="E132"/>
  <c r="E131"/>
  <c r="E129"/>
  <c r="E128"/>
  <c r="E125"/>
  <c r="E124"/>
  <c r="E122"/>
  <c r="E120"/>
  <c r="E119"/>
  <c r="E118"/>
  <c r="E117"/>
  <c r="E116"/>
  <c r="E121"/>
  <c r="P154"/>
  <c r="P153"/>
  <c r="P152"/>
  <c r="P150"/>
  <c r="P148"/>
  <c r="P146"/>
  <c r="P141"/>
  <c r="P140"/>
  <c r="P139"/>
  <c r="P137"/>
  <c r="P135"/>
  <c r="P113"/>
  <c r="P213" s="1"/>
  <c r="P142"/>
  <c r="P132"/>
  <c r="P131"/>
  <c r="P129"/>
  <c r="P128"/>
  <c r="P125"/>
  <c r="P124"/>
  <c r="P122"/>
  <c r="J114"/>
  <c r="J157" s="1"/>
  <c r="P120"/>
  <c r="P119"/>
  <c r="P118"/>
  <c r="P117"/>
  <c r="P116"/>
  <c r="L100" l="1"/>
  <c r="L103"/>
  <c r="L85"/>
  <c r="L81"/>
  <c r="N114" l="1"/>
  <c r="Q200"/>
  <c r="Q192"/>
  <c r="Q191"/>
  <c r="Q67"/>
  <c r="Q64"/>
  <c r="Q61"/>
  <c r="Q60"/>
  <c r="Q59"/>
  <c r="Q55"/>
  <c r="Q53"/>
  <c r="Q52"/>
  <c r="H52" i="17" l="1"/>
  <c r="H49"/>
  <c r="H46"/>
  <c r="H36"/>
  <c r="H33"/>
  <c r="H30"/>
  <c r="H27"/>
  <c r="H20"/>
  <c r="H14"/>
  <c r="H11"/>
  <c r="L154" i="2"/>
  <c r="L153"/>
  <c r="L152"/>
  <c r="L150"/>
  <c r="L148"/>
  <c r="L142"/>
  <c r="L141"/>
  <c r="L140"/>
  <c r="L137"/>
  <c r="L132"/>
  <c r="L131"/>
  <c r="L129"/>
  <c r="L128"/>
  <c r="L125"/>
  <c r="L124"/>
  <c r="L122"/>
  <c r="L120"/>
  <c r="L119"/>
  <c r="L118"/>
  <c r="L117"/>
  <c r="I146"/>
  <c r="I139"/>
  <c r="I119"/>
  <c r="L52" i="17" l="1"/>
  <c r="L49"/>
  <c r="L46"/>
  <c r="L36"/>
  <c r="L33"/>
  <c r="L30"/>
  <c r="L27"/>
  <c r="L20"/>
  <c r="L17"/>
  <c r="L14"/>
  <c r="L11"/>
  <c r="K52" l="1"/>
  <c r="K49"/>
  <c r="K46"/>
  <c r="K36"/>
  <c r="K33"/>
  <c r="K30"/>
  <c r="K20"/>
  <c r="K17"/>
  <c r="K14"/>
  <c r="K11"/>
  <c r="J52" l="1"/>
  <c r="J49"/>
  <c r="J46"/>
  <c r="J36"/>
  <c r="J33"/>
  <c r="J30"/>
  <c r="J27"/>
  <c r="J20"/>
  <c r="J17"/>
  <c r="J14"/>
  <c r="J11"/>
  <c r="G52" l="1"/>
  <c r="G49"/>
  <c r="G46"/>
  <c r="G36"/>
  <c r="G33"/>
  <c r="G30"/>
  <c r="G27"/>
  <c r="G20"/>
  <c r="G17"/>
  <c r="G14"/>
  <c r="F52" l="1"/>
  <c r="F49"/>
  <c r="F46"/>
  <c r="F36"/>
  <c r="F33"/>
  <c r="F30"/>
  <c r="F27"/>
  <c r="F20"/>
  <c r="F17"/>
  <c r="F14"/>
  <c r="F11"/>
  <c r="P95" i="2" l="1"/>
  <c r="L95"/>
  <c r="I95"/>
  <c r="E95"/>
  <c r="P103" l="1"/>
  <c r="P100"/>
  <c r="P85"/>
  <c r="P81"/>
  <c r="L82"/>
  <c r="L84"/>
  <c r="L87"/>
  <c r="L88"/>
  <c r="L89"/>
  <c r="L92"/>
  <c r="L94"/>
  <c r="L96"/>
  <c r="L97"/>
  <c r="L108"/>
  <c r="L104" l="1"/>
  <c r="Q195"/>
  <c r="Q189"/>
  <c r="Q75"/>
  <c r="Q71"/>
  <c r="Q70"/>
  <c r="Q68"/>
  <c r="Q65"/>
  <c r="Q57"/>
  <c r="L195"/>
  <c r="L192"/>
  <c r="L189"/>
  <c r="J216"/>
  <c r="J232" s="1"/>
  <c r="L75"/>
  <c r="L71"/>
  <c r="L70"/>
  <c r="L68"/>
  <c r="L65"/>
  <c r="L57"/>
  <c r="L54"/>
  <c r="L49"/>
  <c r="L50"/>
  <c r="E195"/>
  <c r="E192"/>
  <c r="E189"/>
  <c r="E75"/>
  <c r="E53"/>
  <c r="E52"/>
  <c r="E45"/>
  <c r="L77" l="1"/>
  <c r="M77" s="1"/>
  <c r="P97"/>
  <c r="P96"/>
  <c r="P94"/>
  <c r="P92"/>
  <c r="P89"/>
  <c r="P88"/>
  <c r="P87"/>
  <c r="P84"/>
  <c r="P82"/>
  <c r="P104" l="1"/>
  <c r="P168"/>
  <c r="L168"/>
  <c r="P166"/>
  <c r="L166"/>
  <c r="I170"/>
  <c r="W170" s="1"/>
  <c r="E170"/>
  <c r="I164"/>
  <c r="W164" s="1"/>
  <c r="P162"/>
  <c r="L162"/>
  <c r="I160"/>
  <c r="W160" s="1"/>
  <c r="L156"/>
  <c r="P156"/>
  <c r="P155"/>
  <c r="L155"/>
  <c r="I151"/>
  <c r="W151" s="1"/>
  <c r="P149"/>
  <c r="L149"/>
  <c r="P143"/>
  <c r="L143"/>
  <c r="P138"/>
  <c r="L138"/>
  <c r="P136"/>
  <c r="L136"/>
  <c r="P133"/>
  <c r="L133"/>
  <c r="P130"/>
  <c r="L130"/>
  <c r="P126"/>
  <c r="L126"/>
  <c r="I121"/>
  <c r="W121" s="1"/>
  <c r="M110"/>
  <c r="P108"/>
  <c r="N102"/>
  <c r="D80"/>
  <c r="G80"/>
  <c r="H80"/>
  <c r="M80"/>
  <c r="N80"/>
  <c r="Q80"/>
  <c r="F80" l="1"/>
  <c r="P10"/>
  <c r="L10"/>
  <c r="L40" s="1"/>
  <c r="I10"/>
  <c r="W10" s="1"/>
  <c r="E10"/>
  <c r="P6"/>
  <c r="L6"/>
  <c r="I6"/>
  <c r="W6" s="1"/>
  <c r="E6"/>
  <c r="G114"/>
  <c r="G102"/>
  <c r="G101"/>
  <c r="P50"/>
  <c r="Q26"/>
  <c r="Q31"/>
  <c r="M201"/>
  <c r="M200"/>
  <c r="M199"/>
  <c r="M198"/>
  <c r="M197"/>
  <c r="M196"/>
  <c r="M195"/>
  <c r="M194"/>
  <c r="M193"/>
  <c r="M192"/>
  <c r="M190"/>
  <c r="M189"/>
  <c r="L167"/>
  <c r="L169"/>
  <c r="L171"/>
  <c r="L174"/>
  <c r="M39"/>
  <c r="M37"/>
  <c r="M36"/>
  <c r="M30"/>
  <c r="M29"/>
  <c r="M26"/>
  <c r="M25"/>
  <c r="M23"/>
  <c r="M20"/>
  <c r="M16"/>
  <c r="M15"/>
  <c r="M14"/>
  <c r="M13"/>
  <c r="M11"/>
  <c r="I214"/>
  <c r="E171"/>
  <c r="E169"/>
  <c r="E167"/>
  <c r="E165"/>
  <c r="E163"/>
  <c r="E161"/>
  <c r="E172"/>
  <c r="E174"/>
  <c r="E179"/>
  <c r="E181"/>
  <c r="E182"/>
  <c r="E183"/>
  <c r="E184"/>
  <c r="E185"/>
  <c r="D153" l="1"/>
  <c r="H97" l="1"/>
  <c r="I97" s="1"/>
  <c r="H96"/>
  <c r="I96" s="1"/>
  <c r="H94"/>
  <c r="I94" s="1"/>
  <c r="H92"/>
  <c r="I92" s="1"/>
  <c r="H89"/>
  <c r="I89" s="1"/>
  <c r="H88"/>
  <c r="I88" s="1"/>
  <c r="H87"/>
  <c r="I87" s="1"/>
  <c r="H84"/>
  <c r="I84" s="1"/>
  <c r="H82"/>
  <c r="I82" s="1"/>
  <c r="I215" s="1"/>
  <c r="D97"/>
  <c r="E97" s="1"/>
  <c r="D96"/>
  <c r="E96" s="1"/>
  <c r="D94"/>
  <c r="E94" s="1"/>
  <c r="D92"/>
  <c r="E92" s="1"/>
  <c r="D89"/>
  <c r="E89" s="1"/>
  <c r="D88"/>
  <c r="E88" s="1"/>
  <c r="D87"/>
  <c r="E87" s="1"/>
  <c r="D84"/>
  <c r="E84" s="1"/>
  <c r="D82"/>
  <c r="E82" s="1"/>
  <c r="H103" l="1"/>
  <c r="I103" s="1"/>
  <c r="H100"/>
  <c r="I100" s="1"/>
  <c r="H85"/>
  <c r="I85" s="1"/>
  <c r="H81"/>
  <c r="I81" s="1"/>
  <c r="D103"/>
  <c r="E103" s="1"/>
  <c r="D100"/>
  <c r="E100" s="1"/>
  <c r="D85"/>
  <c r="E85" s="1"/>
  <c r="D81"/>
  <c r="E81" l="1"/>
  <c r="E104" s="1"/>
  <c r="I217"/>
  <c r="I233" s="1"/>
  <c r="I200"/>
  <c r="T200" s="1"/>
  <c r="H200"/>
  <c r="H195"/>
  <c r="H192"/>
  <c r="I191"/>
  <c r="H191"/>
  <c r="H70"/>
  <c r="H68"/>
  <c r="H67"/>
  <c r="I67" s="1"/>
  <c r="T67" s="1"/>
  <c r="H65"/>
  <c r="H61"/>
  <c r="H60"/>
  <c r="H59"/>
  <c r="H57"/>
  <c r="H55"/>
  <c r="I55" s="1"/>
  <c r="T55" s="1"/>
  <c r="H54"/>
  <c r="H52"/>
  <c r="H51"/>
  <c r="H49"/>
  <c r="H45"/>
  <c r="H43"/>
  <c r="D200"/>
  <c r="E200" s="1"/>
  <c r="D191"/>
  <c r="E191" s="1"/>
  <c r="D71"/>
  <c r="D70"/>
  <c r="E70" s="1"/>
  <c r="D68"/>
  <c r="E68" s="1"/>
  <c r="D67"/>
  <c r="E67" s="1"/>
  <c r="D65"/>
  <c r="E65" s="1"/>
  <c r="D64"/>
  <c r="D61"/>
  <c r="E61" s="1"/>
  <c r="D60"/>
  <c r="E60" s="1"/>
  <c r="D59"/>
  <c r="E59" s="1"/>
  <c r="D57"/>
  <c r="E57" s="1"/>
  <c r="D55"/>
  <c r="E55" s="1"/>
  <c r="D54"/>
  <c r="E54" s="1"/>
  <c r="D51"/>
  <c r="E51" s="1"/>
  <c r="D49"/>
  <c r="E49" s="1"/>
  <c r="D47"/>
  <c r="E47" s="1"/>
  <c r="D43"/>
  <c r="I202" l="1"/>
  <c r="I229" s="1"/>
  <c r="T191"/>
  <c r="E216"/>
  <c r="I43"/>
  <c r="H216"/>
  <c r="H232" s="1"/>
  <c r="H107"/>
  <c r="I107" s="1"/>
  <c r="H72"/>
  <c r="I72" s="1"/>
  <c r="H56"/>
  <c r="I56" s="1"/>
  <c r="D107"/>
  <c r="D72"/>
  <c r="E72" s="1"/>
  <c r="D56"/>
  <c r="E56" s="1"/>
  <c r="E77" l="1"/>
  <c r="E232"/>
  <c r="K5" i="17"/>
  <c r="E107" i="2"/>
  <c r="I216"/>
  <c r="T43"/>
  <c r="I211"/>
  <c r="H154"/>
  <c r="I154" s="1"/>
  <c r="H153"/>
  <c r="I153" s="1"/>
  <c r="H152"/>
  <c r="I152" s="1"/>
  <c r="H150"/>
  <c r="I150" s="1"/>
  <c r="H148"/>
  <c r="I148" s="1"/>
  <c r="H142"/>
  <c r="I142" s="1"/>
  <c r="H141"/>
  <c r="I141" s="1"/>
  <c r="H140"/>
  <c r="I140" s="1"/>
  <c r="H137"/>
  <c r="I137" s="1"/>
  <c r="H135"/>
  <c r="I135" s="1"/>
  <c r="H132"/>
  <c r="I132" s="1"/>
  <c r="H131"/>
  <c r="I131" s="1"/>
  <c r="H129"/>
  <c r="I129" s="1"/>
  <c r="H128"/>
  <c r="I128" s="1"/>
  <c r="H125"/>
  <c r="I125" s="1"/>
  <c r="H124"/>
  <c r="I124" s="1"/>
  <c r="H122"/>
  <c r="I122" s="1"/>
  <c r="H120"/>
  <c r="I120" s="1"/>
  <c r="H118"/>
  <c r="I118" s="1"/>
  <c r="H117"/>
  <c r="I117" s="1"/>
  <c r="D154"/>
  <c r="D152"/>
  <c r="D150"/>
  <c r="D148"/>
  <c r="D146"/>
  <c r="D142"/>
  <c r="D141"/>
  <c r="D140"/>
  <c r="D139"/>
  <c r="D137"/>
  <c r="D135"/>
  <c r="D132"/>
  <c r="D131"/>
  <c r="D129"/>
  <c r="D128"/>
  <c r="D124"/>
  <c r="D122"/>
  <c r="D120"/>
  <c r="D119"/>
  <c r="D118"/>
  <c r="D117"/>
  <c r="D116"/>
  <c r="I232" l="1"/>
  <c r="T216"/>
  <c r="I52" i="17"/>
  <c r="D51"/>
  <c r="C51"/>
  <c r="D50"/>
  <c r="D52" s="1"/>
  <c r="C50"/>
  <c r="D48"/>
  <c r="C48"/>
  <c r="D47"/>
  <c r="C47"/>
  <c r="D45"/>
  <c r="C45"/>
  <c r="D44"/>
  <c r="C44"/>
  <c r="D43"/>
  <c r="C43"/>
  <c r="D42"/>
  <c r="C42"/>
  <c r="D41"/>
  <c r="C41"/>
  <c r="D40"/>
  <c r="C40"/>
  <c r="O39"/>
  <c r="D39"/>
  <c r="C39"/>
  <c r="D38"/>
  <c r="C38"/>
  <c r="D37"/>
  <c r="C37"/>
  <c r="D35"/>
  <c r="C35"/>
  <c r="I36"/>
  <c r="D34"/>
  <c r="C34"/>
  <c r="D32"/>
  <c r="C32"/>
  <c r="I33"/>
  <c r="D31"/>
  <c r="C31"/>
  <c r="D29"/>
  <c r="C29"/>
  <c r="D28"/>
  <c r="C28"/>
  <c r="D26"/>
  <c r="C26"/>
  <c r="D25"/>
  <c r="C25"/>
  <c r="D24"/>
  <c r="C24"/>
  <c r="D23"/>
  <c r="C23"/>
  <c r="D22"/>
  <c r="C22"/>
  <c r="D21"/>
  <c r="C21"/>
  <c r="D19"/>
  <c r="C19"/>
  <c r="D18"/>
  <c r="C18"/>
  <c r="P16"/>
  <c r="D16"/>
  <c r="C16"/>
  <c r="D15"/>
  <c r="C15"/>
  <c r="D13"/>
  <c r="C13"/>
  <c r="D12"/>
  <c r="C12"/>
  <c r="O11"/>
  <c r="D10"/>
  <c r="C10"/>
  <c r="Q9"/>
  <c r="Q12" s="1"/>
  <c r="D9"/>
  <c r="C9"/>
  <c r="I11"/>
  <c r="D8"/>
  <c r="C8"/>
  <c r="P7"/>
  <c r="M7"/>
  <c r="P6"/>
  <c r="K38" i="2"/>
  <c r="M38" s="1"/>
  <c r="K35"/>
  <c r="M35" s="1"/>
  <c r="K34"/>
  <c r="M34" s="1"/>
  <c r="K33"/>
  <c r="M33" s="1"/>
  <c r="K31"/>
  <c r="M31" s="1"/>
  <c r="K28"/>
  <c r="M28" s="1"/>
  <c r="K27"/>
  <c r="M27" s="1"/>
  <c r="K24"/>
  <c r="M24" s="1"/>
  <c r="K22"/>
  <c r="M22" s="1"/>
  <c r="K21"/>
  <c r="M21" s="1"/>
  <c r="K19"/>
  <c r="M19" s="1"/>
  <c r="K18"/>
  <c r="M18" s="1"/>
  <c r="K17"/>
  <c r="M17" s="1"/>
  <c r="K12"/>
  <c r="H38"/>
  <c r="I38" s="1"/>
  <c r="H35"/>
  <c r="I35" s="1"/>
  <c r="H34"/>
  <c r="I34" s="1"/>
  <c r="H33"/>
  <c r="I33" s="1"/>
  <c r="H31"/>
  <c r="I31" s="1"/>
  <c r="H28"/>
  <c r="I28" s="1"/>
  <c r="H27"/>
  <c r="I27" s="1"/>
  <c r="H24"/>
  <c r="I24" s="1"/>
  <c r="H22"/>
  <c r="I22" s="1"/>
  <c r="H21"/>
  <c r="I21" s="1"/>
  <c r="H19"/>
  <c r="I19" s="1"/>
  <c r="H18"/>
  <c r="I18" s="1"/>
  <c r="H17"/>
  <c r="I17" s="1"/>
  <c r="H12"/>
  <c r="I12" s="1"/>
  <c r="H15"/>
  <c r="H20"/>
  <c r="D38"/>
  <c r="E38" s="1"/>
  <c r="D35"/>
  <c r="E35" s="1"/>
  <c r="D34"/>
  <c r="E34" s="1"/>
  <c r="D33"/>
  <c r="E33" s="1"/>
  <c r="D31"/>
  <c r="E31" s="1"/>
  <c r="D28"/>
  <c r="E28" s="1"/>
  <c r="D27"/>
  <c r="E27" s="1"/>
  <c r="D24"/>
  <c r="E24" s="1"/>
  <c r="D22"/>
  <c r="E22" s="1"/>
  <c r="D21"/>
  <c r="E21" s="1"/>
  <c r="D19"/>
  <c r="E19" s="1"/>
  <c r="D18"/>
  <c r="E18" s="1"/>
  <c r="D17"/>
  <c r="E17" s="1"/>
  <c r="D12"/>
  <c r="E12" s="1"/>
  <c r="C14" i="17" l="1"/>
  <c r="I210" i="2"/>
  <c r="M12"/>
  <c r="K210"/>
  <c r="D30" i="17"/>
  <c r="M38"/>
  <c r="AG34" i="13" s="1"/>
  <c r="E189" i="14" s="1"/>
  <c r="M37" i="17"/>
  <c r="M22"/>
  <c r="AG22" i="13" s="1"/>
  <c r="C27" i="17"/>
  <c r="M32"/>
  <c r="AG32" i="13" s="1"/>
  <c r="E174" i="14" s="1"/>
  <c r="C17" i="17"/>
  <c r="C36"/>
  <c r="C46"/>
  <c r="D20"/>
  <c r="C33"/>
  <c r="M43"/>
  <c r="I49"/>
  <c r="D49"/>
  <c r="C52"/>
  <c r="I14"/>
  <c r="AG7" i="13"/>
  <c r="W5" i="14" s="1"/>
  <c r="D11" i="17"/>
  <c r="I20"/>
  <c r="M51"/>
  <c r="M9"/>
  <c r="M25"/>
  <c r="AH8" i="15" s="1"/>
  <c r="M48" i="17"/>
  <c r="M35"/>
  <c r="M34"/>
  <c r="M29"/>
  <c r="M21"/>
  <c r="M19"/>
  <c r="M10"/>
  <c r="M8"/>
  <c r="C30"/>
  <c r="M28"/>
  <c r="D17"/>
  <c r="M15"/>
  <c r="AH4" i="15" s="1"/>
  <c r="M40" i="17"/>
  <c r="D14"/>
  <c r="M31"/>
  <c r="D33"/>
  <c r="M44"/>
  <c r="AG38" i="13" s="1"/>
  <c r="D46" i="17"/>
  <c r="M16"/>
  <c r="AH5" i="15" s="1"/>
  <c r="M26" i="17"/>
  <c r="AH9" i="15" s="1"/>
  <c r="M45" i="17"/>
  <c r="C11"/>
  <c r="M12"/>
  <c r="AG12" i="13" s="1"/>
  <c r="I17" i="17"/>
  <c r="M24"/>
  <c r="D27"/>
  <c r="M13"/>
  <c r="M23"/>
  <c r="M39"/>
  <c r="I46"/>
  <c r="C49"/>
  <c r="M42"/>
  <c r="AH11" i="15" s="1"/>
  <c r="C20" i="17"/>
  <c r="I27"/>
  <c r="I30"/>
  <c r="D36"/>
  <c r="M18"/>
  <c r="AG18" i="13" s="1"/>
  <c r="E118" i="14" s="1"/>
  <c r="M41" i="17"/>
  <c r="M47"/>
  <c r="AG41" i="13" s="1"/>
  <c r="M50" i="17"/>
  <c r="AG44" i="13" s="1"/>
  <c r="K32" i="2"/>
  <c r="M32" s="1"/>
  <c r="K10"/>
  <c r="G121"/>
  <c r="AG24" i="13" l="1"/>
  <c r="E164" i="14" s="1"/>
  <c r="AH7" i="15"/>
  <c r="AH19" s="1"/>
  <c r="AH14"/>
  <c r="AH6"/>
  <c r="AH21"/>
  <c r="AH10"/>
  <c r="M10" i="2"/>
  <c r="K40"/>
  <c r="AG39" i="13"/>
  <c r="AG42"/>
  <c r="AG37"/>
  <c r="AG23"/>
  <c r="AG22" i="15"/>
  <c r="AG26" i="13"/>
  <c r="E140" i="14" s="1"/>
  <c r="AG28" i="13"/>
  <c r="M121" i="2"/>
  <c r="AG14" i="15"/>
  <c r="AG16" i="13"/>
  <c r="E104" i="14" s="1"/>
  <c r="AG21" i="13"/>
  <c r="N25" i="17"/>
  <c r="AG21" i="15"/>
  <c r="AG25" i="13"/>
  <c r="E139" i="14" s="1"/>
  <c r="AG31" i="13"/>
  <c r="E173" i="14" s="1"/>
  <c r="AG10" i="13"/>
  <c r="E77" i="14" s="1"/>
  <c r="E85" s="1"/>
  <c r="AG45" i="13"/>
  <c r="AG27" i="15"/>
  <c r="AG36" i="13"/>
  <c r="E190" i="14" s="1"/>
  <c r="AG13" i="15"/>
  <c r="AG15" i="13"/>
  <c r="E103" i="14" s="1"/>
  <c r="AG19" i="13"/>
  <c r="E119" i="14" s="1"/>
  <c r="AG13" i="13"/>
  <c r="AG35"/>
  <c r="E196" i="14" s="1"/>
  <c r="O25" i="17"/>
  <c r="AG8" i="13"/>
  <c r="E75" i="14" s="1"/>
  <c r="E83" s="1"/>
  <c r="AG29" i="13"/>
  <c r="AG9"/>
  <c r="E76" i="14" s="1"/>
  <c r="E84" s="1"/>
  <c r="Q121" i="2"/>
  <c r="F121"/>
  <c r="M36" i="17"/>
  <c r="N36" s="1"/>
  <c r="N34"/>
  <c r="M11"/>
  <c r="M49"/>
  <c r="N39"/>
  <c r="N24"/>
  <c r="O24"/>
  <c r="M46"/>
  <c r="O14"/>
  <c r="M17"/>
  <c r="N28"/>
  <c r="M30"/>
  <c r="AG30" i="13" s="1"/>
  <c r="M52" i="17"/>
  <c r="M20"/>
  <c r="AG20" i="13" s="1"/>
  <c r="E120" i="14" s="1"/>
  <c r="N18" i="17"/>
  <c r="M14"/>
  <c r="M33"/>
  <c r="AG33" i="13" s="1"/>
  <c r="E175" i="14" s="1"/>
  <c r="O41" i="17"/>
  <c r="N41"/>
  <c r="M27"/>
  <c r="AG27" i="13" s="1"/>
  <c r="E141" i="14" s="1"/>
  <c r="N121" i="2"/>
  <c r="AF27" i="15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3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5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AF13"/>
  <c r="AE13"/>
  <c r="AD13"/>
  <c r="AC13"/>
  <c r="AB13"/>
  <c r="AA13"/>
  <c r="Z13"/>
  <c r="Y13"/>
  <c r="X13"/>
  <c r="W13"/>
  <c r="V13"/>
  <c r="U13"/>
  <c r="T13"/>
  <c r="S13"/>
  <c r="R13"/>
  <c r="R15" s="1"/>
  <c r="Q13"/>
  <c r="P13"/>
  <c r="O13"/>
  <c r="N13"/>
  <c r="M13"/>
  <c r="L13"/>
  <c r="K13"/>
  <c r="J13"/>
  <c r="I13"/>
  <c r="H13"/>
  <c r="G13"/>
  <c r="F13"/>
  <c r="E13"/>
  <c r="D13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AG19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AG2"/>
  <c r="AH2" s="1"/>
  <c r="AF2"/>
  <c r="AE2"/>
  <c r="AD2"/>
  <c r="AC2"/>
  <c r="AC25" s="1"/>
  <c r="AB2"/>
  <c r="AA2"/>
  <c r="Z2"/>
  <c r="Y2"/>
  <c r="X2"/>
  <c r="W2"/>
  <c r="V2"/>
  <c r="U2"/>
  <c r="U25" s="1"/>
  <c r="T2"/>
  <c r="S2"/>
  <c r="R2"/>
  <c r="Q2"/>
  <c r="Q25" s="1"/>
  <c r="P2"/>
  <c r="O2"/>
  <c r="N2"/>
  <c r="M2"/>
  <c r="M25" s="1"/>
  <c r="L2"/>
  <c r="K2"/>
  <c r="J2"/>
  <c r="I2"/>
  <c r="H2"/>
  <c r="G2"/>
  <c r="F2"/>
  <c r="E2"/>
  <c r="E25" s="1"/>
  <c r="D2"/>
  <c r="C2"/>
  <c r="C20" s="1"/>
  <c r="D196" i="14"/>
  <c r="C196"/>
  <c r="D190"/>
  <c r="C190"/>
  <c r="D189"/>
  <c r="C189"/>
  <c r="D141"/>
  <c r="C141"/>
  <c r="D140"/>
  <c r="C140"/>
  <c r="D139"/>
  <c r="C139"/>
  <c r="D120"/>
  <c r="C120"/>
  <c r="D119"/>
  <c r="C119"/>
  <c r="D118"/>
  <c r="C118"/>
  <c r="D105"/>
  <c r="C105"/>
  <c r="D104"/>
  <c r="C104"/>
  <c r="D103"/>
  <c r="C103"/>
  <c r="D86"/>
  <c r="C86"/>
  <c r="D85"/>
  <c r="C85"/>
  <c r="D84"/>
  <c r="C84"/>
  <c r="D83"/>
  <c r="C83"/>
  <c r="D57"/>
  <c r="C57"/>
  <c r="D31"/>
  <c r="C31"/>
  <c r="W8"/>
  <c r="V5"/>
  <c r="V8" s="1"/>
  <c r="U5"/>
  <c r="U8" s="1"/>
  <c r="D5"/>
  <c r="C5"/>
  <c r="E2"/>
  <c r="AI21" i="15" l="1"/>
  <c r="E23"/>
  <c r="I23"/>
  <c r="M23"/>
  <c r="Q23"/>
  <c r="U23"/>
  <c r="Y23"/>
  <c r="AC23"/>
  <c r="J16"/>
  <c r="N16"/>
  <c r="V16"/>
  <c r="F15"/>
  <c r="AG16"/>
  <c r="AH20"/>
  <c r="AI19"/>
  <c r="AH17"/>
  <c r="AI14"/>
  <c r="AH24"/>
  <c r="AH22"/>
  <c r="AH13"/>
  <c r="AI13" s="1"/>
  <c r="AH27"/>
  <c r="K223" i="2"/>
  <c r="J15" i="15"/>
  <c r="N15"/>
  <c r="V15"/>
  <c r="Z15"/>
  <c r="AD15"/>
  <c r="AG40" i="13"/>
  <c r="AG11"/>
  <c r="N10" i="17"/>
  <c r="N31"/>
  <c r="I24" i="15"/>
  <c r="Y24"/>
  <c r="N12" i="17"/>
  <c r="AG14" i="13"/>
  <c r="AG46"/>
  <c r="AG43"/>
  <c r="AG17"/>
  <c r="E105" i="14" s="1"/>
  <c r="P28" i="17"/>
  <c r="N8"/>
  <c r="N33"/>
  <c r="N30"/>
  <c r="O27"/>
  <c r="N27"/>
  <c r="N14"/>
  <c r="O18"/>
  <c r="AG25" i="15"/>
  <c r="AG17"/>
  <c r="AG28"/>
  <c r="AG20"/>
  <c r="E78" i="14"/>
  <c r="E86" s="1"/>
  <c r="D17" i="15"/>
  <c r="H17"/>
  <c r="L17"/>
  <c r="P17"/>
  <c r="T17"/>
  <c r="X17"/>
  <c r="AB17"/>
  <c r="AF17"/>
  <c r="D20"/>
  <c r="H20"/>
  <c r="L20"/>
  <c r="P20"/>
  <c r="T20"/>
  <c r="X20"/>
  <c r="AB20"/>
  <c r="AF20"/>
  <c r="E24"/>
  <c r="E26" s="1"/>
  <c r="U24"/>
  <c r="U26" s="1"/>
  <c r="I25"/>
  <c r="I26" s="1"/>
  <c r="Y25"/>
  <c r="I28"/>
  <c r="M28"/>
  <c r="Q28"/>
  <c r="U28"/>
  <c r="Y28"/>
  <c r="AC28"/>
  <c r="G17"/>
  <c r="K17"/>
  <c r="O17"/>
  <c r="S17"/>
  <c r="W17"/>
  <c r="AA17"/>
  <c r="AE17"/>
  <c r="G20"/>
  <c r="K20"/>
  <c r="O20"/>
  <c r="S20"/>
  <c r="W20"/>
  <c r="AA20"/>
  <c r="AE20"/>
  <c r="Q24"/>
  <c r="Q26" s="1"/>
  <c r="D28"/>
  <c r="H28"/>
  <c r="L28"/>
  <c r="P28"/>
  <c r="T28"/>
  <c r="X28"/>
  <c r="AB28"/>
  <c r="AF28"/>
  <c r="G16"/>
  <c r="K16"/>
  <c r="O16"/>
  <c r="S16"/>
  <c r="W16"/>
  <c r="AA16"/>
  <c r="AE16"/>
  <c r="H25"/>
  <c r="L25"/>
  <c r="P25"/>
  <c r="T25"/>
  <c r="X25"/>
  <c r="AB25"/>
  <c r="AF25"/>
  <c r="M24"/>
  <c r="M26" s="1"/>
  <c r="AC24"/>
  <c r="AC26" s="1"/>
  <c r="G28"/>
  <c r="K28"/>
  <c r="O28"/>
  <c r="S28"/>
  <c r="W28"/>
  <c r="AA28"/>
  <c r="AE28"/>
  <c r="I17"/>
  <c r="M17"/>
  <c r="Q17"/>
  <c r="U17"/>
  <c r="Y17"/>
  <c r="AC17"/>
  <c r="E20"/>
  <c r="I20"/>
  <c r="M20"/>
  <c r="Q20"/>
  <c r="U20"/>
  <c r="Y20"/>
  <c r="AC20"/>
  <c r="H24"/>
  <c r="L24"/>
  <c r="P24"/>
  <c r="T24"/>
  <c r="X24"/>
  <c r="AB24"/>
  <c r="AF24"/>
  <c r="J28"/>
  <c r="R28"/>
  <c r="Z28"/>
  <c r="AG15"/>
  <c r="AG24"/>
  <c r="AG23"/>
  <c r="E17"/>
  <c r="F20"/>
  <c r="F28"/>
  <c r="F17"/>
  <c r="J17"/>
  <c r="J20"/>
  <c r="N20"/>
  <c r="N28"/>
  <c r="N17"/>
  <c r="N18" s="1"/>
  <c r="R17"/>
  <c r="R16"/>
  <c r="R20"/>
  <c r="V20"/>
  <c r="V28"/>
  <c r="V17"/>
  <c r="Z17"/>
  <c r="Z16"/>
  <c r="Z20"/>
  <c r="AD20"/>
  <c r="AD28"/>
  <c r="AD17"/>
  <c r="AD16"/>
  <c r="AG6"/>
  <c r="E16"/>
  <c r="E15"/>
  <c r="I16"/>
  <c r="I15"/>
  <c r="M16"/>
  <c r="M15"/>
  <c r="Q16"/>
  <c r="Q15"/>
  <c r="U16"/>
  <c r="U18" s="1"/>
  <c r="U15"/>
  <c r="Y16"/>
  <c r="Y15"/>
  <c r="AC16"/>
  <c r="AC15"/>
  <c r="F16"/>
  <c r="G24"/>
  <c r="G23"/>
  <c r="K24"/>
  <c r="K23"/>
  <c r="O24"/>
  <c r="O23"/>
  <c r="S24"/>
  <c r="S23"/>
  <c r="W24"/>
  <c r="W23"/>
  <c r="AA24"/>
  <c r="AA23"/>
  <c r="AE24"/>
  <c r="AE23"/>
  <c r="F25"/>
  <c r="J25"/>
  <c r="N25"/>
  <c r="R25"/>
  <c r="V25"/>
  <c r="Z25"/>
  <c r="AD25"/>
  <c r="E28"/>
  <c r="D16"/>
  <c r="D15"/>
  <c r="H16"/>
  <c r="H15"/>
  <c r="L16"/>
  <c r="L18" s="1"/>
  <c r="L15"/>
  <c r="P16"/>
  <c r="P15"/>
  <c r="T16"/>
  <c r="T15"/>
  <c r="X16"/>
  <c r="X15"/>
  <c r="AB16"/>
  <c r="AB15"/>
  <c r="AF16"/>
  <c r="AF15"/>
  <c r="G25"/>
  <c r="K25"/>
  <c r="O25"/>
  <c r="S25"/>
  <c r="W25"/>
  <c r="AA25"/>
  <c r="AE25"/>
  <c r="D23"/>
  <c r="L23"/>
  <c r="T23"/>
  <c r="AB23"/>
  <c r="D24"/>
  <c r="D25"/>
  <c r="C25"/>
  <c r="C24"/>
  <c r="C28"/>
  <c r="C17"/>
  <c r="C16"/>
  <c r="F24"/>
  <c r="J24"/>
  <c r="N24"/>
  <c r="R24"/>
  <c r="V24"/>
  <c r="Z24"/>
  <c r="AD24"/>
  <c r="H23"/>
  <c r="P23"/>
  <c r="X23"/>
  <c r="AF23"/>
  <c r="AG10"/>
  <c r="G15"/>
  <c r="K15"/>
  <c r="O15"/>
  <c r="S15"/>
  <c r="W15"/>
  <c r="AA15"/>
  <c r="AE15"/>
  <c r="F23"/>
  <c r="J23"/>
  <c r="N23"/>
  <c r="R23"/>
  <c r="V23"/>
  <c r="Z23"/>
  <c r="AD23"/>
  <c r="AB18" l="1"/>
  <c r="J18"/>
  <c r="AI20"/>
  <c r="AA18"/>
  <c r="AF18"/>
  <c r="P18"/>
  <c r="V18"/>
  <c r="AI17"/>
  <c r="AH28"/>
  <c r="AI28" s="1"/>
  <c r="AI27"/>
  <c r="AI24"/>
  <c r="AH25"/>
  <c r="AI25" s="1"/>
  <c r="AI22"/>
  <c r="AI23" s="1"/>
  <c r="AH15"/>
  <c r="AH16"/>
  <c r="AI16" s="1"/>
  <c r="AH23"/>
  <c r="X18"/>
  <c r="H18"/>
  <c r="V26"/>
  <c r="AF26"/>
  <c r="P26"/>
  <c r="F26"/>
  <c r="T18"/>
  <c r="AG18"/>
  <c r="Z26"/>
  <c r="J26"/>
  <c r="AB26"/>
  <c r="L26"/>
  <c r="K18"/>
  <c r="D18"/>
  <c r="AC18"/>
  <c r="M18"/>
  <c r="AE18"/>
  <c r="O18"/>
  <c r="W18"/>
  <c r="G18"/>
  <c r="Y26"/>
  <c r="R26"/>
  <c r="Q18"/>
  <c r="AD26"/>
  <c r="N26"/>
  <c r="T26"/>
  <c r="S18"/>
  <c r="AD18"/>
  <c r="AG26"/>
  <c r="X26"/>
  <c r="Y18"/>
  <c r="I18"/>
  <c r="AI15"/>
  <c r="AA26"/>
  <c r="S26"/>
  <c r="K26"/>
  <c r="H26"/>
  <c r="AE26"/>
  <c r="O26"/>
  <c r="W26"/>
  <c r="G26"/>
  <c r="D26"/>
  <c r="R18"/>
  <c r="C18"/>
  <c r="C26"/>
  <c r="Z18"/>
  <c r="F18"/>
  <c r="E18"/>
  <c r="AH18" l="1"/>
  <c r="AH26"/>
  <c r="AI18"/>
  <c r="AI26"/>
  <c r="L216" i="2" l="1"/>
  <c r="L232" l="1"/>
  <c r="K6" i="17"/>
  <c r="N58" i="2" l="1"/>
  <c r="M58"/>
  <c r="G58"/>
  <c r="D213" l="1"/>
  <c r="C213"/>
  <c r="E213" l="1"/>
  <c r="H5" i="17" s="1"/>
  <c r="I7" i="2"/>
  <c r="I222" s="1"/>
  <c r="I174" l="1"/>
  <c r="I172"/>
  <c r="I171"/>
  <c r="I169"/>
  <c r="I167"/>
  <c r="I165"/>
  <c r="I163"/>
  <c r="I161"/>
  <c r="I208" l="1"/>
  <c r="P174"/>
  <c r="P172"/>
  <c r="P171"/>
  <c r="P169"/>
  <c r="P167"/>
  <c r="P165"/>
  <c r="P163"/>
  <c r="P161"/>
  <c r="L172"/>
  <c r="L165"/>
  <c r="L163"/>
  <c r="L161"/>
  <c r="P176" l="1"/>
  <c r="I104" l="1"/>
  <c r="I225" s="1"/>
  <c r="P185"/>
  <c r="P184"/>
  <c r="P183"/>
  <c r="P182"/>
  <c r="P181"/>
  <c r="P179"/>
  <c r="L185"/>
  <c r="L184"/>
  <c r="L183"/>
  <c r="L182"/>
  <c r="L181"/>
  <c r="L179"/>
  <c r="I185"/>
  <c r="I184"/>
  <c r="I183"/>
  <c r="I182"/>
  <c r="I181"/>
  <c r="I179"/>
  <c r="I209" l="1"/>
  <c r="I186"/>
  <c r="I228" s="1"/>
  <c r="I77" l="1"/>
  <c r="I224" s="1"/>
  <c r="I40" l="1"/>
  <c r="I223" l="1"/>
  <c r="N133"/>
  <c r="M133"/>
  <c r="L208" l="1"/>
  <c r="C6" i="17" s="1"/>
  <c r="T100" i="2" l="1"/>
  <c r="H217" l="1"/>
  <c r="H233" s="1"/>
  <c r="H215"/>
  <c r="H214"/>
  <c r="H211"/>
  <c r="H210"/>
  <c r="H209"/>
  <c r="H186"/>
  <c r="H228" s="1"/>
  <c r="H202"/>
  <c r="H229" s="1"/>
  <c r="F31" l="1"/>
  <c r="Q172" l="1"/>
  <c r="Q165"/>
  <c r="Q161"/>
  <c r="Q135"/>
  <c r="Q129"/>
  <c r="Q125"/>
  <c r="Q122"/>
  <c r="Q120"/>
  <c r="Q117"/>
  <c r="O213"/>
  <c r="Q96"/>
  <c r="O214"/>
  <c r="Q88"/>
  <c r="Q87"/>
  <c r="O215"/>
  <c r="Q56"/>
  <c r="O210"/>
  <c r="Q19"/>
  <c r="Q27"/>
  <c r="Q35"/>
  <c r="Q24"/>
  <c r="M173"/>
  <c r="M166"/>
  <c r="M165"/>
  <c r="K176"/>
  <c r="K227" s="1"/>
  <c r="M154"/>
  <c r="M149"/>
  <c r="M145"/>
  <c r="M142"/>
  <c r="M141"/>
  <c r="M134"/>
  <c r="M132"/>
  <c r="M128"/>
  <c r="M125"/>
  <c r="M124"/>
  <c r="M120"/>
  <c r="K213"/>
  <c r="M115"/>
  <c r="M111"/>
  <c r="K157"/>
  <c r="M99"/>
  <c r="M95"/>
  <c r="M91"/>
  <c r="M88"/>
  <c r="M87"/>
  <c r="K215"/>
  <c r="M74"/>
  <c r="M70"/>
  <c r="M59"/>
  <c r="M49"/>
  <c r="M46"/>
  <c r="K216"/>
  <c r="K232" s="1"/>
  <c r="M69"/>
  <c r="M65"/>
  <c r="K211"/>
  <c r="M48"/>
  <c r="F154"/>
  <c r="F153"/>
  <c r="F137"/>
  <c r="F132"/>
  <c r="F129"/>
  <c r="F128"/>
  <c r="F125"/>
  <c r="F124"/>
  <c r="F119"/>
  <c r="F103"/>
  <c r="F97"/>
  <c r="F94"/>
  <c r="F92"/>
  <c r="F89"/>
  <c r="F88"/>
  <c r="F84"/>
  <c r="F81"/>
  <c r="F82"/>
  <c r="F100"/>
  <c r="D214"/>
  <c r="F87"/>
  <c r="F51"/>
  <c r="F60"/>
  <c r="F68"/>
  <c r="D211"/>
  <c r="F75"/>
  <c r="G45"/>
  <c r="G51"/>
  <c r="F52"/>
  <c r="G59"/>
  <c r="G64"/>
  <c r="G71"/>
  <c r="F96"/>
  <c r="F70"/>
  <c r="F57"/>
  <c r="F49"/>
  <c r="F43"/>
  <c r="E7"/>
  <c r="E222" s="1"/>
  <c r="F28"/>
  <c r="F24"/>
  <c r="F12"/>
  <c r="C226"/>
  <c r="J226"/>
  <c r="Q169"/>
  <c r="N171"/>
  <c r="N169"/>
  <c r="N163"/>
  <c r="N161"/>
  <c r="L202"/>
  <c r="L229" s="1"/>
  <c r="M68"/>
  <c r="N61"/>
  <c r="N55"/>
  <c r="M47"/>
  <c r="P77"/>
  <c r="Q103"/>
  <c r="N103"/>
  <c r="M103"/>
  <c r="G100"/>
  <c r="Q107"/>
  <c r="P211"/>
  <c r="G107"/>
  <c r="Q34"/>
  <c r="Q28"/>
  <c r="Q21"/>
  <c r="N35"/>
  <c r="N34"/>
  <c r="N27"/>
  <c r="N19"/>
  <c r="G35"/>
  <c r="F34"/>
  <c r="F19"/>
  <c r="E40"/>
  <c r="Q97"/>
  <c r="Q92"/>
  <c r="Q89"/>
  <c r="M97"/>
  <c r="N96"/>
  <c r="N92"/>
  <c r="M89"/>
  <c r="N87"/>
  <c r="G96"/>
  <c r="G88"/>
  <c r="G10"/>
  <c r="G6"/>
  <c r="M6"/>
  <c r="M63"/>
  <c r="M66"/>
  <c r="D202"/>
  <c r="D229" s="1"/>
  <c r="G185"/>
  <c r="F184"/>
  <c r="G183"/>
  <c r="E186"/>
  <c r="G182"/>
  <c r="G181"/>
  <c r="Q185"/>
  <c r="Q184"/>
  <c r="Q183"/>
  <c r="Q182"/>
  <c r="Q181"/>
  <c r="P186"/>
  <c r="P228" s="1"/>
  <c r="Q179"/>
  <c r="N183"/>
  <c r="N182"/>
  <c r="M181"/>
  <c r="M179"/>
  <c r="P208"/>
  <c r="L214"/>
  <c r="I6" i="17" s="1"/>
  <c r="L212" i="2"/>
  <c r="E214"/>
  <c r="I5" i="17" s="1"/>
  <c r="E210" i="2"/>
  <c r="G13"/>
  <c r="G14"/>
  <c r="G23"/>
  <c r="G25"/>
  <c r="G26"/>
  <c r="N26"/>
  <c r="L213"/>
  <c r="H6" i="17" s="1"/>
  <c r="P212" i="2"/>
  <c r="P7"/>
  <c r="P222" s="1"/>
  <c r="L7"/>
  <c r="L222" s="1"/>
  <c r="E202"/>
  <c r="E229" s="1"/>
  <c r="C22" i="10" s="1"/>
  <c r="Q174" i="2"/>
  <c r="Q171"/>
  <c r="Q167"/>
  <c r="Q163"/>
  <c r="Q154"/>
  <c r="Q153"/>
  <c r="Q152"/>
  <c r="Q150"/>
  <c r="Q148"/>
  <c r="Q146"/>
  <c r="Q142"/>
  <c r="Q141"/>
  <c r="Q140"/>
  <c r="Q139"/>
  <c r="Q137"/>
  <c r="Q132"/>
  <c r="Q131"/>
  <c r="Q128"/>
  <c r="Q124"/>
  <c r="Q119"/>
  <c r="Q118"/>
  <c r="Q113"/>
  <c r="Q94"/>
  <c r="Q85"/>
  <c r="Q81"/>
  <c r="Q72"/>
  <c r="Q51"/>
  <c r="Q50"/>
  <c r="Q49"/>
  <c r="Q47"/>
  <c r="Q43"/>
  <c r="Q38"/>
  <c r="Q33"/>
  <c r="Q22"/>
  <c r="Q17"/>
  <c r="N200"/>
  <c r="N191"/>
  <c r="M191"/>
  <c r="N175"/>
  <c r="M175"/>
  <c r="N174"/>
  <c r="M174"/>
  <c r="N173"/>
  <c r="N172"/>
  <c r="M172"/>
  <c r="M171"/>
  <c r="N170"/>
  <c r="M170"/>
  <c r="N168"/>
  <c r="M168"/>
  <c r="N167"/>
  <c r="M167"/>
  <c r="N166"/>
  <c r="N165"/>
  <c r="N164"/>
  <c r="M164"/>
  <c r="M163"/>
  <c r="N162"/>
  <c r="M162"/>
  <c r="N160"/>
  <c r="M160"/>
  <c r="N156"/>
  <c r="M156"/>
  <c r="N155"/>
  <c r="M155"/>
  <c r="N154"/>
  <c r="N153"/>
  <c r="N152"/>
  <c r="N151"/>
  <c r="M151"/>
  <c r="N150"/>
  <c r="N149"/>
  <c r="N148"/>
  <c r="N147"/>
  <c r="M147"/>
  <c r="N146"/>
  <c r="M146"/>
  <c r="N145"/>
  <c r="N144"/>
  <c r="M144"/>
  <c r="N143"/>
  <c r="M143"/>
  <c r="N142"/>
  <c r="N141"/>
  <c r="N140"/>
  <c r="N139"/>
  <c r="M139"/>
  <c r="N138"/>
  <c r="N137"/>
  <c r="N136"/>
  <c r="M136"/>
  <c r="N135"/>
  <c r="N134"/>
  <c r="N132"/>
  <c r="N131"/>
  <c r="N130"/>
  <c r="M130"/>
  <c r="N129"/>
  <c r="N128"/>
  <c r="N127"/>
  <c r="M127"/>
  <c r="N126"/>
  <c r="M126"/>
  <c r="N125"/>
  <c r="N124"/>
  <c r="N123"/>
  <c r="M123"/>
  <c r="N122"/>
  <c r="N120"/>
  <c r="N119"/>
  <c r="N118"/>
  <c r="N117"/>
  <c r="N116"/>
  <c r="M116"/>
  <c r="N115"/>
  <c r="M113"/>
  <c r="N112"/>
  <c r="M112"/>
  <c r="N111"/>
  <c r="N110"/>
  <c r="N109"/>
  <c r="M109"/>
  <c r="N108"/>
  <c r="M108"/>
  <c r="N107"/>
  <c r="N101"/>
  <c r="M101"/>
  <c r="N100"/>
  <c r="N99"/>
  <c r="N98"/>
  <c r="M98"/>
  <c r="N97"/>
  <c r="N95"/>
  <c r="N94"/>
  <c r="M94"/>
  <c r="N93"/>
  <c r="M93"/>
  <c r="M92"/>
  <c r="N91"/>
  <c r="N90"/>
  <c r="M90"/>
  <c r="N88"/>
  <c r="N83"/>
  <c r="M83"/>
  <c r="N82"/>
  <c r="M82"/>
  <c r="N81"/>
  <c r="N74"/>
  <c r="N73"/>
  <c r="M73"/>
  <c r="N71"/>
  <c r="M71"/>
  <c r="N70"/>
  <c r="N69"/>
  <c r="N66"/>
  <c r="N65"/>
  <c r="N64"/>
  <c r="M64"/>
  <c r="N63"/>
  <c r="N59"/>
  <c r="N57"/>
  <c r="M57"/>
  <c r="M55"/>
  <c r="N52"/>
  <c r="N51"/>
  <c r="M51"/>
  <c r="N49"/>
  <c r="N48"/>
  <c r="N47"/>
  <c r="N46"/>
  <c r="N43"/>
  <c r="M43"/>
  <c r="N38"/>
  <c r="N33"/>
  <c r="N32"/>
  <c r="N24"/>
  <c r="N21"/>
  <c r="N20"/>
  <c r="N18"/>
  <c r="N17"/>
  <c r="N15"/>
  <c r="N10"/>
  <c r="N6"/>
  <c r="G201"/>
  <c r="G200"/>
  <c r="G199"/>
  <c r="G197"/>
  <c r="G193"/>
  <c r="G192"/>
  <c r="G191"/>
  <c r="G190"/>
  <c r="G189"/>
  <c r="G180"/>
  <c r="G170"/>
  <c r="G154"/>
  <c r="G153"/>
  <c r="G152"/>
  <c r="G150"/>
  <c r="G148"/>
  <c r="G146"/>
  <c r="G142"/>
  <c r="G141"/>
  <c r="G140"/>
  <c r="G139"/>
  <c r="G137"/>
  <c r="G135"/>
  <c r="G132"/>
  <c r="G131"/>
  <c r="G129"/>
  <c r="G128"/>
  <c r="G125"/>
  <c r="G124"/>
  <c r="G122"/>
  <c r="G120"/>
  <c r="G119"/>
  <c r="G118"/>
  <c r="G117"/>
  <c r="G116"/>
  <c r="G113"/>
  <c r="G103"/>
  <c r="G99"/>
  <c r="G98"/>
  <c r="G97"/>
  <c r="G95"/>
  <c r="G94"/>
  <c r="G93"/>
  <c r="G92"/>
  <c r="G91"/>
  <c r="G90"/>
  <c r="G89"/>
  <c r="G85"/>
  <c r="G84"/>
  <c r="G83"/>
  <c r="G82"/>
  <c r="G81"/>
  <c r="G76"/>
  <c r="G75"/>
  <c r="G74"/>
  <c r="G73"/>
  <c r="G70"/>
  <c r="G69"/>
  <c r="G68"/>
  <c r="G67"/>
  <c r="G66"/>
  <c r="G65"/>
  <c r="G63"/>
  <c r="G62"/>
  <c r="G61"/>
  <c r="G60"/>
  <c r="G57"/>
  <c r="G56"/>
  <c r="G55"/>
  <c r="G54"/>
  <c r="G53"/>
  <c r="G52"/>
  <c r="G49"/>
  <c r="G48"/>
  <c r="G47"/>
  <c r="G46"/>
  <c r="G44"/>
  <c r="G43"/>
  <c r="G39"/>
  <c r="G38"/>
  <c r="G37"/>
  <c r="G36"/>
  <c r="G34"/>
  <c r="G33"/>
  <c r="G32"/>
  <c r="G31"/>
  <c r="G30"/>
  <c r="G29"/>
  <c r="G28"/>
  <c r="G24"/>
  <c r="G22"/>
  <c r="G21"/>
  <c r="G20"/>
  <c r="G19"/>
  <c r="G18"/>
  <c r="G17"/>
  <c r="G16"/>
  <c r="G15"/>
  <c r="G12"/>
  <c r="G11"/>
  <c r="F200"/>
  <c r="F191"/>
  <c r="F152"/>
  <c r="F150"/>
  <c r="F148"/>
  <c r="F142"/>
  <c r="F141"/>
  <c r="F140"/>
  <c r="F135"/>
  <c r="F131"/>
  <c r="F117"/>
  <c r="F85"/>
  <c r="F71"/>
  <c r="F67"/>
  <c r="F65"/>
  <c r="F61"/>
  <c r="F56"/>
  <c r="F55"/>
  <c r="F38"/>
  <c r="F35"/>
  <c r="F33"/>
  <c r="F22"/>
  <c r="F21"/>
  <c r="F18"/>
  <c r="F17"/>
  <c r="A176"/>
  <c r="A227" s="1"/>
  <c r="C8" i="10" s="1"/>
  <c r="A226" i="2"/>
  <c r="J176"/>
  <c r="C227"/>
  <c r="B20" i="10" s="1"/>
  <c r="M153" i="2"/>
  <c r="M152"/>
  <c r="M150"/>
  <c r="M148"/>
  <c r="M140"/>
  <c r="M137"/>
  <c r="M135"/>
  <c r="M131"/>
  <c r="M129"/>
  <c r="M122"/>
  <c r="F122"/>
  <c r="F120"/>
  <c r="M119"/>
  <c r="M118"/>
  <c r="F118"/>
  <c r="M117"/>
  <c r="M81"/>
  <c r="A186"/>
  <c r="A228" s="1"/>
  <c r="C9" i="10" s="1"/>
  <c r="A225" i="2"/>
  <c r="C6" i="10" s="1"/>
  <c r="A224" i="2"/>
  <c r="C5" i="10" s="1"/>
  <c r="C225" i="2"/>
  <c r="B18" i="10" s="1"/>
  <c r="J224" i="2"/>
  <c r="C29" i="10" s="1"/>
  <c r="C224" i="2"/>
  <c r="B17" i="10" s="1"/>
  <c r="C216" i="2"/>
  <c r="A213"/>
  <c r="H4" i="17" s="1"/>
  <c r="C3" i="10"/>
  <c r="B3"/>
  <c r="K7" i="2"/>
  <c r="K222" s="1"/>
  <c r="O217"/>
  <c r="O233" s="1"/>
  <c r="O211"/>
  <c r="O209"/>
  <c r="K217"/>
  <c r="K233" s="1"/>
  <c r="K208"/>
  <c r="O202"/>
  <c r="K202"/>
  <c r="K229" s="1"/>
  <c r="O186"/>
  <c r="O228" s="1"/>
  <c r="K186"/>
  <c r="K228" s="1"/>
  <c r="J40"/>
  <c r="J7"/>
  <c r="C7"/>
  <c r="R229"/>
  <c r="B10" i="10" s="1"/>
  <c r="R228" i="2"/>
  <c r="B9" i="10" s="1"/>
  <c r="R227" i="2"/>
  <c r="B8" i="10" s="1"/>
  <c r="R226" i="2"/>
  <c r="R225"/>
  <c r="B6" i="10" s="1"/>
  <c r="R224" i="2"/>
  <c r="B5" i="10" s="1"/>
  <c r="R223" i="2"/>
  <c r="B4" i="10" s="1"/>
  <c r="A202" i="2"/>
  <c r="A229" s="1"/>
  <c r="C10" i="10" s="1"/>
  <c r="J202" i="2"/>
  <c r="J229" s="1"/>
  <c r="C34" i="10" s="1"/>
  <c r="C202" i="2"/>
  <c r="C229" s="1"/>
  <c r="B22" i="10" s="1"/>
  <c r="A40" i="2"/>
  <c r="C40"/>
  <c r="C223" s="1"/>
  <c r="B16" i="10" s="1"/>
  <c r="C212" i="2"/>
  <c r="C231" s="1"/>
  <c r="C209"/>
  <c r="J212"/>
  <c r="J231" s="1"/>
  <c r="J209"/>
  <c r="A217"/>
  <c r="L4" i="17" s="1"/>
  <c r="A216" i="2"/>
  <c r="K4" i="17" s="1"/>
  <c r="A215" i="2"/>
  <c r="J4" i="17" s="1"/>
  <c r="A214" i="2"/>
  <c r="A212"/>
  <c r="G4" i="17" s="1"/>
  <c r="A211" i="2"/>
  <c r="F4" i="17" s="1"/>
  <c r="A210" i="2"/>
  <c r="E4" i="17" s="1"/>
  <c r="A209" i="2"/>
  <c r="A208"/>
  <c r="J214"/>
  <c r="J213"/>
  <c r="C211"/>
  <c r="J217"/>
  <c r="J233" s="1"/>
  <c r="C217"/>
  <c r="J210"/>
  <c r="C210"/>
  <c r="C234" s="1"/>
  <c r="J215"/>
  <c r="C208"/>
  <c r="J208"/>
  <c r="J211"/>
  <c r="C214"/>
  <c r="C215"/>
  <c r="J186"/>
  <c r="J228" s="1"/>
  <c r="C33" i="10" s="1"/>
  <c r="C186" i="2"/>
  <c r="J225"/>
  <c r="C30" i="10" s="1"/>
  <c r="A7" i="2"/>
  <c r="R222" s="1"/>
  <c r="N181"/>
  <c r="M182"/>
  <c r="Q18"/>
  <c r="F107"/>
  <c r="N56"/>
  <c r="E215"/>
  <c r="J5" i="17" s="1"/>
  <c r="G87" i="2"/>
  <c r="L210"/>
  <c r="E6" i="17" s="1"/>
  <c r="G72" i="2"/>
  <c r="E211"/>
  <c r="F5" i="17" s="1"/>
  <c r="F72" i="2"/>
  <c r="M100"/>
  <c r="L223"/>
  <c r="E217"/>
  <c r="E225"/>
  <c r="Q82"/>
  <c r="F27"/>
  <c r="G27"/>
  <c r="N22"/>
  <c r="M169"/>
  <c r="L176"/>
  <c r="L227" s="1"/>
  <c r="D32" i="10" s="1"/>
  <c r="M183" i="2"/>
  <c r="N179"/>
  <c r="M184"/>
  <c r="N184"/>
  <c r="N185"/>
  <c r="M185"/>
  <c r="L186"/>
  <c r="F185"/>
  <c r="F179"/>
  <c r="G179"/>
  <c r="F181"/>
  <c r="G184"/>
  <c r="F182"/>
  <c r="P209"/>
  <c r="F183"/>
  <c r="D186"/>
  <c r="D228" s="1"/>
  <c r="O208"/>
  <c r="Q116"/>
  <c r="Q84"/>
  <c r="O216"/>
  <c r="O232" s="1"/>
  <c r="M161"/>
  <c r="K214"/>
  <c r="M52"/>
  <c r="M56"/>
  <c r="K212"/>
  <c r="K231" s="1"/>
  <c r="P217"/>
  <c r="P233" s="1"/>
  <c r="Q100"/>
  <c r="Q95"/>
  <c r="P214"/>
  <c r="N45"/>
  <c r="M45"/>
  <c r="M60"/>
  <c r="N60"/>
  <c r="N67"/>
  <c r="M67"/>
  <c r="N75"/>
  <c r="M75"/>
  <c r="P216"/>
  <c r="Q45"/>
  <c r="P225"/>
  <c r="P215"/>
  <c r="M72"/>
  <c r="L211"/>
  <c r="F6" i="17" s="1"/>
  <c r="L217" i="2"/>
  <c r="M85"/>
  <c r="N72"/>
  <c r="P202"/>
  <c r="N84"/>
  <c r="L215"/>
  <c r="J6" i="17" s="1"/>
  <c r="M84" i="2"/>
  <c r="N28"/>
  <c r="P40"/>
  <c r="Q12"/>
  <c r="M107"/>
  <c r="L157"/>
  <c r="P157"/>
  <c r="M61"/>
  <c r="N68"/>
  <c r="N85"/>
  <c r="N89"/>
  <c r="M96"/>
  <c r="N12"/>
  <c r="F95"/>
  <c r="F47"/>
  <c r="F59"/>
  <c r="F64"/>
  <c r="D215"/>
  <c r="D217"/>
  <c r="D233" s="1"/>
  <c r="F45"/>
  <c r="D210"/>
  <c r="D234" s="1"/>
  <c r="D209"/>
  <c r="F50"/>
  <c r="E209"/>
  <c r="G50"/>
  <c r="F172"/>
  <c r="F174"/>
  <c r="F161"/>
  <c r="G163"/>
  <c r="F167"/>
  <c r="F171"/>
  <c r="G171"/>
  <c r="D208"/>
  <c r="G174"/>
  <c r="G172"/>
  <c r="G165"/>
  <c r="E208"/>
  <c r="G161"/>
  <c r="G167"/>
  <c r="F169"/>
  <c r="F165"/>
  <c r="F163"/>
  <c r="G169"/>
  <c r="K209"/>
  <c r="N50"/>
  <c r="M50"/>
  <c r="L209"/>
  <c r="D6" i="17" s="1"/>
  <c r="P231" i="2" l="1"/>
  <c r="P232"/>
  <c r="U216"/>
  <c r="J223"/>
  <c r="C28" i="10" s="1"/>
  <c r="J204" i="2"/>
  <c r="K226"/>
  <c r="K204"/>
  <c r="A218"/>
  <c r="E233"/>
  <c r="L5" i="17"/>
  <c r="E234" i="2"/>
  <c r="E5" i="17"/>
  <c r="L228" i="2"/>
  <c r="D33" i="10" s="1"/>
  <c r="B33" s="1"/>
  <c r="L204" i="2"/>
  <c r="E223"/>
  <c r="C16" i="10" s="1"/>
  <c r="P204" i="2"/>
  <c r="L233"/>
  <c r="L6" i="17"/>
  <c r="L231" i="2"/>
  <c r="G6" i="17"/>
  <c r="U217" i="2"/>
  <c r="C233"/>
  <c r="G216"/>
  <c r="G232" s="1"/>
  <c r="C232"/>
  <c r="Q216"/>
  <c r="Q232" s="1"/>
  <c r="C5" i="17"/>
  <c r="D5"/>
  <c r="C4"/>
  <c r="D4"/>
  <c r="I4"/>
  <c r="A204" i="2"/>
  <c r="A223"/>
  <c r="C4" i="10" s="1"/>
  <c r="A222" i="2"/>
  <c r="B7" i="10"/>
  <c r="B11" s="1"/>
  <c r="G186" i="2"/>
  <c r="Q211"/>
  <c r="Q209"/>
  <c r="M213"/>
  <c r="C228"/>
  <c r="B21" i="10" s="1"/>
  <c r="Q214" i="2"/>
  <c r="N229"/>
  <c r="M157"/>
  <c r="G77"/>
  <c r="M208"/>
  <c r="N202"/>
  <c r="K218"/>
  <c r="F202"/>
  <c r="N208"/>
  <c r="M104"/>
  <c r="F229"/>
  <c r="G202"/>
  <c r="Q202"/>
  <c r="F214"/>
  <c r="N212"/>
  <c r="N231" s="1"/>
  <c r="G229"/>
  <c r="N186"/>
  <c r="Q217"/>
  <c r="Q233" s="1"/>
  <c r="F215"/>
  <c r="G215"/>
  <c r="N213"/>
  <c r="P218"/>
  <c r="Q215"/>
  <c r="P226"/>
  <c r="N40"/>
  <c r="M40"/>
  <c r="N216"/>
  <c r="N232" s="1"/>
  <c r="N215"/>
  <c r="M216"/>
  <c r="M232" s="1"/>
  <c r="M210"/>
  <c r="N209"/>
  <c r="M209"/>
  <c r="M214"/>
  <c r="N211"/>
  <c r="N210"/>
  <c r="M223"/>
  <c r="D28" i="10"/>
  <c r="B28" s="1"/>
  <c r="C18"/>
  <c r="Q228" i="2"/>
  <c r="M217"/>
  <c r="M233" s="1"/>
  <c r="E224"/>
  <c r="C17" i="10" s="1"/>
  <c r="D34"/>
  <c r="B34" s="1"/>
  <c r="M186" i="2"/>
  <c r="Q208"/>
  <c r="F213"/>
  <c r="M227"/>
  <c r="G210"/>
  <c r="G40"/>
  <c r="P229"/>
  <c r="M212"/>
  <c r="M231" s="1"/>
  <c r="N217"/>
  <c r="N233" s="1"/>
  <c r="N214"/>
  <c r="Q213"/>
  <c r="G211"/>
  <c r="G208"/>
  <c r="G223"/>
  <c r="F216"/>
  <c r="F232" s="1"/>
  <c r="F211"/>
  <c r="G209"/>
  <c r="F209"/>
  <c r="F208"/>
  <c r="G214"/>
  <c r="G213"/>
  <c r="M229"/>
  <c r="M202"/>
  <c r="P227"/>
  <c r="F210"/>
  <c r="C204"/>
  <c r="G225"/>
  <c r="N77"/>
  <c r="Q210"/>
  <c r="M211"/>
  <c r="G104"/>
  <c r="R230"/>
  <c r="O229"/>
  <c r="N157"/>
  <c r="L226"/>
  <c r="N104"/>
  <c r="L225"/>
  <c r="F217"/>
  <c r="F233" s="1"/>
  <c r="C222"/>
  <c r="G7"/>
  <c r="J227"/>
  <c r="N176"/>
  <c r="Q186"/>
  <c r="F186"/>
  <c r="M176"/>
  <c r="M215"/>
  <c r="L224"/>
  <c r="L218"/>
  <c r="G217"/>
  <c r="G233" s="1"/>
  <c r="P223"/>
  <c r="E228"/>
  <c r="N7"/>
  <c r="J222"/>
  <c r="M7"/>
  <c r="P224"/>
  <c r="A230" l="1"/>
  <c r="M4" i="17" s="1"/>
  <c r="AG4" i="13" s="1"/>
  <c r="F2" i="14" s="1"/>
  <c r="E5" s="1"/>
  <c r="M6" i="17"/>
  <c r="AG6" i="13" s="1"/>
  <c r="E52" i="14" s="1"/>
  <c r="E57" s="1"/>
  <c r="N223" i="2"/>
  <c r="M228"/>
  <c r="N228"/>
  <c r="C7" i="10"/>
  <c r="C11" s="1"/>
  <c r="H208" i="2"/>
  <c r="K230"/>
  <c r="G224"/>
  <c r="N222"/>
  <c r="J230"/>
  <c r="J218" s="1"/>
  <c r="N218" s="1"/>
  <c r="N204"/>
  <c r="M204"/>
  <c r="Q229"/>
  <c r="P230"/>
  <c r="M218"/>
  <c r="C32" i="10"/>
  <c r="B32" s="1"/>
  <c r="N227" i="2"/>
  <c r="D31" i="10"/>
  <c r="N226" i="2"/>
  <c r="M226"/>
  <c r="M224"/>
  <c r="L230"/>
  <c r="N224"/>
  <c r="D29" i="10"/>
  <c r="G222" i="2"/>
  <c r="C230"/>
  <c r="C218" s="1"/>
  <c r="N225"/>
  <c r="M225"/>
  <c r="D30" i="10"/>
  <c r="B30" s="1"/>
  <c r="B19"/>
  <c r="B23" s="1"/>
  <c r="C31"/>
  <c r="F228" i="2"/>
  <c r="C21" i="10"/>
  <c r="G228" i="2"/>
  <c r="M222"/>
  <c r="N6" i="17" l="1"/>
  <c r="O6" s="1"/>
  <c r="B31" i="10"/>
  <c r="C35"/>
  <c r="N230" i="2"/>
  <c r="M230"/>
  <c r="D35" i="10"/>
  <c r="E35" s="1"/>
  <c r="B29"/>
  <c r="B35" l="1"/>
  <c r="D36"/>
  <c r="D37" s="1"/>
  <c r="Q175" i="2" l="1"/>
  <c r="Q173"/>
  <c r="Q170"/>
  <c r="Q168"/>
  <c r="Q166"/>
  <c r="Q164"/>
  <c r="Q162"/>
  <c r="Q156"/>
  <c r="Q155"/>
  <c r="Q151"/>
  <c r="Q149"/>
  <c r="Q147"/>
  <c r="Q145"/>
  <c r="Q144"/>
  <c r="Q143"/>
  <c r="Q136"/>
  <c r="Q134"/>
  <c r="Q133"/>
  <c r="Q130"/>
  <c r="Q127"/>
  <c r="Q126"/>
  <c r="Q123"/>
  <c r="Q115"/>
  <c r="Q112"/>
  <c r="Q111"/>
  <c r="Q110"/>
  <c r="Q109"/>
  <c r="Q101"/>
  <c r="Q99"/>
  <c r="Q98"/>
  <c r="Q93"/>
  <c r="Q91"/>
  <c r="Q90"/>
  <c r="Q83"/>
  <c r="Q74"/>
  <c r="Q73"/>
  <c r="Q69"/>
  <c r="Q66"/>
  <c r="Q63"/>
  <c r="Q58"/>
  <c r="Q48"/>
  <c r="Q32"/>
  <c r="Q20"/>
  <c r="Q15"/>
  <c r="H175"/>
  <c r="I175" s="1"/>
  <c r="W175" s="1"/>
  <c r="H173"/>
  <c r="I173" s="1"/>
  <c r="W173" s="1"/>
  <c r="H168"/>
  <c r="I168" s="1"/>
  <c r="W168" s="1"/>
  <c r="H166"/>
  <c r="I166" s="1"/>
  <c r="W166" s="1"/>
  <c r="H162"/>
  <c r="I162" s="1"/>
  <c r="W162" s="1"/>
  <c r="H156"/>
  <c r="I156" s="1"/>
  <c r="W156" s="1"/>
  <c r="H155"/>
  <c r="I155" s="1"/>
  <c r="W155" s="1"/>
  <c r="H149"/>
  <c r="I149" s="1"/>
  <c r="W149" s="1"/>
  <c r="H147"/>
  <c r="I147" s="1"/>
  <c r="W147" s="1"/>
  <c r="H145"/>
  <c r="I145" s="1"/>
  <c r="W145" s="1"/>
  <c r="H144"/>
  <c r="I144" s="1"/>
  <c r="W144" s="1"/>
  <c r="H143"/>
  <c r="I143" s="1"/>
  <c r="W143" s="1"/>
  <c r="H138"/>
  <c r="I138" s="1"/>
  <c r="W138" s="1"/>
  <c r="H136"/>
  <c r="I136" s="1"/>
  <c r="W136" s="1"/>
  <c r="H134"/>
  <c r="I134" s="1"/>
  <c r="W134" s="1"/>
  <c r="H133"/>
  <c r="I133" s="1"/>
  <c r="W133" s="1"/>
  <c r="H130"/>
  <c r="I130" s="1"/>
  <c r="W130" s="1"/>
  <c r="H127"/>
  <c r="I127" s="1"/>
  <c r="W127" s="1"/>
  <c r="H126"/>
  <c r="I126" s="1"/>
  <c r="W126" s="1"/>
  <c r="H123"/>
  <c r="I123" s="1"/>
  <c r="W123" s="1"/>
  <c r="H115"/>
  <c r="I115" s="1"/>
  <c r="W115" s="1"/>
  <c r="H112"/>
  <c r="I112" s="1"/>
  <c r="W112" s="1"/>
  <c r="H111"/>
  <c r="I111" s="1"/>
  <c r="W111" s="1"/>
  <c r="H110"/>
  <c r="I110" s="1"/>
  <c r="W110" s="1"/>
  <c r="H109"/>
  <c r="I109" s="1"/>
  <c r="W109" s="1"/>
  <c r="H108"/>
  <c r="I108" s="1"/>
  <c r="W108" s="1"/>
  <c r="H101"/>
  <c r="H99"/>
  <c r="H98"/>
  <c r="H93"/>
  <c r="H91"/>
  <c r="H90"/>
  <c r="H83"/>
  <c r="H73"/>
  <c r="H69"/>
  <c r="H66"/>
  <c r="H63"/>
  <c r="H58"/>
  <c r="H48"/>
  <c r="H46"/>
  <c r="H32"/>
  <c r="H26"/>
  <c r="H10"/>
  <c r="H6"/>
  <c r="D175"/>
  <c r="D173"/>
  <c r="F170"/>
  <c r="D168"/>
  <c r="D166"/>
  <c r="D164"/>
  <c r="D162"/>
  <c r="D160"/>
  <c r="D156"/>
  <c r="D155"/>
  <c r="D151"/>
  <c r="E151" s="1"/>
  <c r="G151" s="1"/>
  <c r="D149"/>
  <c r="D147"/>
  <c r="D145"/>
  <c r="D144"/>
  <c r="D143"/>
  <c r="D138"/>
  <c r="D136"/>
  <c r="E136" s="1"/>
  <c r="D134"/>
  <c r="E134" s="1"/>
  <c r="D133"/>
  <c r="E133" s="1"/>
  <c r="D130"/>
  <c r="E130" s="1"/>
  <c r="D127"/>
  <c r="E127" s="1"/>
  <c r="D126"/>
  <c r="E126" s="1"/>
  <c r="D123"/>
  <c r="E123" s="1"/>
  <c r="D115"/>
  <c r="E115" s="1"/>
  <c r="D112"/>
  <c r="D111"/>
  <c r="D110"/>
  <c r="D109"/>
  <c r="D108"/>
  <c r="D101"/>
  <c r="F101" s="1"/>
  <c r="D99"/>
  <c r="F99" s="1"/>
  <c r="D98"/>
  <c r="F98" s="1"/>
  <c r="D93"/>
  <c r="F93" s="1"/>
  <c r="D91"/>
  <c r="F91" s="1"/>
  <c r="D90"/>
  <c r="F90" s="1"/>
  <c r="D83"/>
  <c r="D74"/>
  <c r="F74" s="1"/>
  <c r="D73"/>
  <c r="F73" s="1"/>
  <c r="D69"/>
  <c r="F69" s="1"/>
  <c r="D66"/>
  <c r="F66" s="1"/>
  <c r="D63"/>
  <c r="F63" s="1"/>
  <c r="D58"/>
  <c r="F58" s="1"/>
  <c r="D48"/>
  <c r="F48" s="1"/>
  <c r="D46"/>
  <c r="D32"/>
  <c r="F32" s="1"/>
  <c r="D20"/>
  <c r="F20" s="1"/>
  <c r="D15"/>
  <c r="F15" s="1"/>
  <c r="D10"/>
  <c r="D6"/>
  <c r="D77" l="1"/>
  <c r="F83"/>
  <c r="D104"/>
  <c r="E108"/>
  <c r="F108" s="1"/>
  <c r="D157"/>
  <c r="E160"/>
  <c r="F160" s="1"/>
  <c r="D176"/>
  <c r="I176"/>
  <c r="I227" s="1"/>
  <c r="E109"/>
  <c r="G109" s="1"/>
  <c r="E111"/>
  <c r="G111" s="1"/>
  <c r="G115"/>
  <c r="G126"/>
  <c r="G130"/>
  <c r="G134"/>
  <c r="E138"/>
  <c r="G138" s="1"/>
  <c r="E144"/>
  <c r="G144" s="1"/>
  <c r="E147"/>
  <c r="G147" s="1"/>
  <c r="E156"/>
  <c r="G156" s="1"/>
  <c r="E162"/>
  <c r="G162" s="1"/>
  <c r="E166"/>
  <c r="G166" s="1"/>
  <c r="E175"/>
  <c r="G175" s="1"/>
  <c r="I212"/>
  <c r="G108"/>
  <c r="E110"/>
  <c r="G110" s="1"/>
  <c r="E112"/>
  <c r="G112" s="1"/>
  <c r="G123"/>
  <c r="G127"/>
  <c r="G133"/>
  <c r="G136"/>
  <c r="E143"/>
  <c r="G143" s="1"/>
  <c r="E145"/>
  <c r="G145" s="1"/>
  <c r="E149"/>
  <c r="G149" s="1"/>
  <c r="E155"/>
  <c r="G155" s="1"/>
  <c r="G160"/>
  <c r="E164"/>
  <c r="G164" s="1"/>
  <c r="E168"/>
  <c r="G168" s="1"/>
  <c r="E173"/>
  <c r="G173" s="1"/>
  <c r="H77"/>
  <c r="H224" s="1"/>
  <c r="Q46"/>
  <c r="O77"/>
  <c r="O40"/>
  <c r="Q10"/>
  <c r="Q108"/>
  <c r="O157"/>
  <c r="Q160"/>
  <c r="O176"/>
  <c r="H40"/>
  <c r="H104"/>
  <c r="H225" s="1"/>
  <c r="H176"/>
  <c r="H227" s="1"/>
  <c r="F46"/>
  <c r="D40"/>
  <c r="F10"/>
  <c r="O212"/>
  <c r="O231" s="1"/>
  <c r="O7"/>
  <c r="Q6"/>
  <c r="H212"/>
  <c r="H231" s="1"/>
  <c r="H7"/>
  <c r="F6"/>
  <c r="D212"/>
  <c r="D231" s="1"/>
  <c r="D7"/>
  <c r="O204" l="1"/>
  <c r="Q204" s="1"/>
  <c r="E176"/>
  <c r="F176" s="1"/>
  <c r="H223"/>
  <c r="E157"/>
  <c r="D204"/>
  <c r="F112"/>
  <c r="I231"/>
  <c r="W212"/>
  <c r="F145"/>
  <c r="F155"/>
  <c r="F127"/>
  <c r="F136"/>
  <c r="F149"/>
  <c r="F143"/>
  <c r="F133"/>
  <c r="F123"/>
  <c r="F110"/>
  <c r="F173"/>
  <c r="F168"/>
  <c r="F164"/>
  <c r="E212"/>
  <c r="F175"/>
  <c r="F166"/>
  <c r="F162"/>
  <c r="F156"/>
  <c r="F147"/>
  <c r="F144"/>
  <c r="F138"/>
  <c r="F134"/>
  <c r="F130"/>
  <c r="F126"/>
  <c r="F115"/>
  <c r="F111"/>
  <c r="F109"/>
  <c r="O227"/>
  <c r="Q227" s="1"/>
  <c r="Q176"/>
  <c r="O226"/>
  <c r="Q226" s="1"/>
  <c r="Q157"/>
  <c r="O224"/>
  <c r="Q224" s="1"/>
  <c r="Q77"/>
  <c r="O223"/>
  <c r="Q223" s="1"/>
  <c r="Q40"/>
  <c r="O225"/>
  <c r="Q225" s="1"/>
  <c r="Q104"/>
  <c r="D223"/>
  <c r="F223" s="1"/>
  <c r="F40"/>
  <c r="D225"/>
  <c r="F225" s="1"/>
  <c r="F104"/>
  <c r="F77"/>
  <c r="D224"/>
  <c r="F224" s="1"/>
  <c r="D227"/>
  <c r="D226"/>
  <c r="Q212"/>
  <c r="Q231" s="1"/>
  <c r="O218"/>
  <c r="Q218" s="1"/>
  <c r="O222"/>
  <c r="Q7"/>
  <c r="H222"/>
  <c r="D222"/>
  <c r="F7"/>
  <c r="E204" l="1"/>
  <c r="G204" s="1"/>
  <c r="E231"/>
  <c r="G5" i="17"/>
  <c r="F157" i="2"/>
  <c r="G157"/>
  <c r="E226"/>
  <c r="E227"/>
  <c r="G176"/>
  <c r="G212"/>
  <c r="G231" s="1"/>
  <c r="F212"/>
  <c r="F231" s="1"/>
  <c r="Q222"/>
  <c r="O230"/>
  <c r="Q230" s="1"/>
  <c r="F222"/>
  <c r="D230"/>
  <c r="C19" i="10" l="1"/>
  <c r="G226" i="2"/>
  <c r="E230"/>
  <c r="F226"/>
  <c r="C20" i="10"/>
  <c r="G227" i="2"/>
  <c r="F227"/>
  <c r="F204"/>
  <c r="D218"/>
  <c r="F230" l="1"/>
  <c r="M5" i="17"/>
  <c r="N5" s="1"/>
  <c r="G230" i="2"/>
  <c r="E218"/>
  <c r="G218" s="1"/>
  <c r="C23" i="10"/>
  <c r="C24" s="1"/>
  <c r="AG5" i="13" l="1"/>
  <c r="E27" i="14" s="1"/>
  <c r="E31" s="1"/>
  <c r="F218" i="2"/>
  <c r="H213"/>
  <c r="H218" s="1"/>
  <c r="H116"/>
  <c r="H157" s="1"/>
  <c r="H204" s="1"/>
  <c r="H226" l="1"/>
  <c r="H230" s="1"/>
  <c r="I116"/>
  <c r="I157" l="1"/>
  <c r="I204" s="1"/>
  <c r="I213"/>
  <c r="I218" s="1"/>
  <c r="I226" l="1"/>
  <c r="I230" s="1"/>
  <c r="F114" l="1"/>
  <c r="F102"/>
  <c r="F26"/>
</calcChain>
</file>

<file path=xl/sharedStrings.xml><?xml version="1.0" encoding="utf-8"?>
<sst xmlns="http://schemas.openxmlformats.org/spreadsheetml/2006/main" count="1104" uniqueCount="323">
  <si>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</si>
  <si>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</si>
  <si>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</si>
  <si>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</si>
  <si>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</si>
  <si>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</si>
  <si>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</si>
  <si>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</si>
  <si>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</si>
  <si>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</si>
  <si>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</si>
  <si>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rural union councils with RSP presence*</t>
  </si>
  <si>
    <t># of Local Support Organisations (LSOs)</t>
  </si>
  <si>
    <t xml:space="preserve">Women COs </t>
  </si>
  <si>
    <t>Men COs</t>
  </si>
  <si>
    <t>Mix COs</t>
  </si>
  <si>
    <t xml:space="preserve">Total </t>
  </si>
  <si>
    <t xml:space="preserve">Women </t>
  </si>
  <si>
    <t xml:space="preserve">Men </t>
  </si>
  <si>
    <t># of community members trained</t>
  </si>
  <si>
    <t>Amount of micro-credit disbursement (Rs. Million)</t>
  </si>
  <si>
    <t xml:space="preserve"># of loans </t>
  </si>
  <si>
    <t xml:space="preserve"># of beneficiary households of initiated CPIs </t>
  </si>
  <si>
    <t># of community schools established</t>
  </si>
  <si>
    <t xml:space="preserve">Girls </t>
  </si>
  <si>
    <t># of students enrolled</t>
  </si>
  <si>
    <t xml:space="preserve">Boys 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</si>
  <si>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</si>
  <si>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</si>
  <si>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</si>
  <si>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</si>
  <si>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</si>
  <si>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</si>
  <si>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</si>
  <si>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</si>
  <si>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</si>
  <si>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</si>
  <si>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</si>
  <si>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</si>
  <si>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</si>
  <si>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</si>
  <si>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</si>
  <si>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</si>
  <si>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</si>
  <si>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</si>
  <si>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</si>
  <si>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</si>
  <si>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</si>
  <si>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</si>
  <si>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</si>
  <si>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</si>
  <si>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</si>
  <si>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</si>
  <si>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</si>
  <si>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</si>
  <si>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</si>
  <si>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</si>
  <si>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</si>
  <si>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</si>
  <si>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</si>
  <si>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</si>
  <si>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</si>
  <si>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</si>
  <si>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</si>
  <si>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</si>
  <si>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</si>
  <si>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</si>
  <si>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</si>
  <si>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</si>
  <si>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</si>
  <si>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</si>
  <si>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</si>
  <si>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</si>
  <si>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</si>
  <si>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</si>
  <si>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</si>
  <si>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</si>
  <si>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</si>
  <si>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</si>
  <si>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</si>
  <si>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</si>
  <si>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</si>
  <si>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</si>
  <si>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</si>
  <si>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</si>
  <si>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</si>
  <si>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</si>
  <si>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</si>
  <si>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</si>
  <si>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Nawabshah</t>
  </si>
  <si>
    <t xml:space="preserve">Shahdad Kot </t>
  </si>
  <si>
    <t>Sanghar</t>
  </si>
  <si>
    <t>Shikarpur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</si>
  <si>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</si>
  <si>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</si>
  <si>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</si>
  <si>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</si>
  <si>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</si>
  <si>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</si>
  <si>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</si>
  <si>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</si>
  <si>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</si>
  <si>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</si>
  <si>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</si>
  <si>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</si>
  <si>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</si>
  <si>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</si>
  <si>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</si>
  <si>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</si>
  <si>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</si>
  <si>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</si>
  <si>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</si>
  <si>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</si>
  <si>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</si>
  <si>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</si>
  <si>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</si>
  <si>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</si>
  <si>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</si>
  <si>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</si>
  <si>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</si>
  <si>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</si>
  <si>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</si>
  <si>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</si>
  <si>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</si>
  <si>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</si>
  <si>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</si>
  <si>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</si>
  <si>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</si>
  <si>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</si>
  <si>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</si>
  <si>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</si>
  <si>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</si>
  <si>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</si>
  <si>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</si>
  <si>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</si>
  <si>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</si>
  <si>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</si>
  <si>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</si>
  <si>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</si>
  <si>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</si>
  <si>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</si>
  <si>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</si>
  <si>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</si>
  <si>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</si>
  <si>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</si>
  <si>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</si>
  <si>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</si>
  <si>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</si>
  <si>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</si>
  <si>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</si>
  <si>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</si>
  <si>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</si>
  <si>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</si>
  <si>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</si>
  <si>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</si>
  <si>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</si>
  <si>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</si>
  <si>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</si>
  <si>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</si>
  <si>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</si>
  <si>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</si>
  <si>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</si>
  <si>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</si>
  <si>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</si>
  <si>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</si>
  <si>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</si>
  <si>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</si>
  <si>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</si>
  <si>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</si>
  <si>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</si>
  <si>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</si>
  <si>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</si>
  <si>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</si>
  <si>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</si>
  <si>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</si>
  <si>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</si>
  <si>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</si>
  <si>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</si>
  <si>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</si>
  <si>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</si>
  <si>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</si>
  <si>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</si>
  <si>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</si>
  <si>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</si>
  <si>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</si>
  <si>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</si>
  <si>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</si>
  <si>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</si>
  <si>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</si>
  <si>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</si>
  <si>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</si>
  <si>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</si>
  <si>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</si>
  <si>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</si>
  <si>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Dir Lower</t>
  </si>
  <si>
    <t>D.I.Khan</t>
  </si>
  <si>
    <t>Tank</t>
  </si>
  <si>
    <t>Lakki Marwat</t>
  </si>
  <si>
    <t>Karachi</t>
  </si>
  <si>
    <t>Total rural and Peri-Urban UCs in the District</t>
  </si>
  <si>
    <t xml:space="preserve">Number of Districts  </t>
  </si>
  <si>
    <t>Province-wise Summary of RSPs Coverage/Outreach</t>
  </si>
  <si>
    <t>Name of RSP</t>
  </si>
  <si>
    <t>Name of Province/Area</t>
  </si>
  <si>
    <t xml:space="preserve">Grand Total </t>
  </si>
  <si>
    <t>Community Investment Fund (CIF)</t>
  </si>
  <si>
    <t xml:space="preserve">Total amount of CIF disbursed (Rs. million) </t>
  </si>
  <si>
    <t># of health micro insurance schemes</t>
  </si>
  <si>
    <t>FEDERALLY ADMINISTERED TRIBAL AREA (FATA)/Frontier Regions (FRs)</t>
  </si>
  <si>
    <t>Khyber Pakhtunkhwa (KPK)</t>
  </si>
  <si>
    <t>Gilgit-Baltistan (GB)</t>
  </si>
  <si>
    <t>Aga Khan RSP</t>
  </si>
  <si>
    <t>Balochistan RSP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</si>
  <si>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</si>
  <si>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</si>
  <si>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</si>
  <si>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</si>
  <si>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</si>
  <si>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</si>
  <si>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</si>
  <si>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# of RSP working districts/areas**</t>
  </si>
  <si>
    <t xml:space="preserve">Number of districts/areas having RSPs presence  </t>
  </si>
  <si>
    <t>Number of total districts/areas in the province/area</t>
  </si>
  <si>
    <t>Amount of savings of COs                  (Rs. Million)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</si>
  <si>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</si>
  <si>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</si>
  <si>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</si>
  <si>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</si>
  <si>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</si>
  <si>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</si>
  <si>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Punjab (Inc ICT)</t>
  </si>
  <si>
    <t>Total</t>
  </si>
  <si>
    <t xml:space="preserve">Total rural union councils </t>
  </si>
  <si>
    <t xml:space="preserve">Number of union councils having RSP presence </t>
  </si>
  <si>
    <t>Total rural HHs in the RSP District (1998 Census)</t>
  </si>
  <si>
    <t>Nowshera (overlapping)</t>
  </si>
  <si>
    <t>Malakand P.A (overlapping)</t>
  </si>
  <si>
    <t xml:space="preserve"># of beneficiary households of completed CPIs </t>
  </si>
  <si>
    <t>Sargodha (overlapping)</t>
  </si>
  <si>
    <t xml:space="preserve"># of population insured </t>
  </si>
  <si>
    <t>Union Councils Having RSPs Presence</t>
  </si>
  <si>
    <t>Households Organised</t>
  </si>
  <si>
    <t>\</t>
  </si>
  <si>
    <t>Households organised</t>
  </si>
  <si>
    <t>% of households organised</t>
  </si>
  <si>
    <t>Mandi Bahauddin (Overlapping)</t>
  </si>
  <si>
    <t>New Added in June 2013</t>
  </si>
  <si>
    <t xml:space="preserve">Rural Support Programmes in Pakistan </t>
  </si>
  <si>
    <t># of RSP working districts</t>
  </si>
  <si>
    <t>Amount of savings of COs (Rs. Million)</t>
  </si>
  <si>
    <t>Total amount of CIF disbursed (Rs. million)</t>
  </si>
  <si>
    <t># of Loans</t>
  </si>
  <si>
    <t>Women</t>
  </si>
  <si>
    <t>Men</t>
  </si>
  <si>
    <t>4,24,981</t>
  </si>
  <si>
    <t xml:space="preserve"># of beneficiary households of CPIs </t>
  </si>
  <si>
    <t>1982-1992</t>
  </si>
  <si>
    <t>Up to 2002</t>
  </si>
  <si>
    <t>Up to 2012</t>
  </si>
  <si>
    <t>Amount of savings of COs ($. Million)</t>
  </si>
  <si>
    <t>Total amount of CIF disbursed ($. million)</t>
  </si>
  <si>
    <t>Amount of micro-credit disbursement ($. Million)</t>
  </si>
  <si>
    <t>Year</t>
  </si>
  <si>
    <t>Average USD/PKR</t>
  </si>
  <si>
    <t>Min USD/PKR</t>
  </si>
  <si>
    <t>Max USD/PKR</t>
  </si>
  <si>
    <t xml:space="preserve">source </t>
  </si>
  <si>
    <t>http://fxtop.com/en/historical-exchange-rates.php?A=1&amp;C1=USD&amp;C2=PKR&amp;YA=1&amp;DD1=&amp;MM1=&amp;YYYY1=1983&amp;B=1&amp;P=&amp;I=1&amp;DD2=07&amp;MM2=10&amp;YYYY2=2013&amp;btnOK=Go%21</t>
  </si>
  <si>
    <t>Hafiz Abad (overlapping)*</t>
  </si>
  <si>
    <t>New Added in Dec 2013</t>
  </si>
  <si>
    <t>+ Data pertaining to AJKRSP updated as at March 2013.</t>
  </si>
  <si>
    <t>AJKRSP+</t>
  </si>
  <si>
    <t>Up to 2013</t>
  </si>
  <si>
    <t>Azad Jammu and Kashmir (AJK)</t>
  </si>
  <si>
    <t># as of December 2013</t>
  </si>
  <si>
    <t>Number of Revenue Villages Having RSPs Presence (as of December 2013)</t>
  </si>
  <si>
    <t>Community Organisations Formed</t>
  </si>
  <si>
    <t>KHYBER PAKHTUNKHWA (KPK)</t>
  </si>
  <si>
    <t>Bannu</t>
  </si>
  <si>
    <t>Mardan (overlapping)</t>
  </si>
  <si>
    <t>Naushero Feroz</t>
  </si>
  <si>
    <t xml:space="preserve">Sukkur </t>
  </si>
  <si>
    <t>Muzaffarabad</t>
  </si>
  <si>
    <t>Muzaffarabad (overlapping)</t>
  </si>
  <si>
    <t>Poonch (Rawalakot) (overlapping)</t>
  </si>
  <si>
    <t>Azad Jammu and Kashmir RSP</t>
  </si>
  <si>
    <t>Islamabad Capital Territory (ICT)</t>
  </si>
  <si>
    <t>Ghazi Barotha Tarqiati Idara</t>
  </si>
  <si>
    <t># of organised households</t>
  </si>
  <si>
    <t xml:space="preserve"># of Community Organisations (COs) formed </t>
  </si>
  <si>
    <t># of PPI/CPI schemes initiated</t>
  </si>
  <si>
    <t xml:space="preserve"># of PPI/CPI schemes completed </t>
  </si>
  <si>
    <t xml:space="preserve">Total cost of initiated CPIs (Rs. Million) </t>
  </si>
  <si>
    <t xml:space="preserve">Total cost of completed CPIs (Rs. Million) </t>
  </si>
  <si>
    <t># of adults literated or graduated</t>
  </si>
  <si>
    <t># of traditional birth attendants / health workers trained</t>
  </si>
  <si>
    <t>Federal Administered Tribal Areas (FATA)/Frontier Regions (FRs)</t>
  </si>
  <si>
    <t># of LSOs managing CIF</t>
  </si>
  <si>
    <t># of VOs managing CIF</t>
  </si>
  <si>
    <t># of CIF borrowers</t>
  </si>
  <si>
    <t>Cumulative Achievement</t>
  </si>
  <si>
    <t># of union councils with RSP presence</t>
  </si>
  <si>
    <t xml:space="preserve"># of organised households </t>
  </si>
  <si>
    <t># of Local Support Organisations (LSO)</t>
  </si>
  <si>
    <t># of CO members</t>
  </si>
  <si>
    <t># of health micro-insurance schemes</t>
  </si>
  <si>
    <t xml:space="preserve"># of PPI/CPI schemes </t>
  </si>
  <si>
    <t xml:space="preserve">Total cost of CPIs (Rs. Million) </t>
  </si>
  <si>
    <t># of Local Support Organisations</t>
  </si>
  <si>
    <t xml:space="preserve"># of health micro-insurance schemes </t>
  </si>
  <si>
    <t xml:space="preserve">Total cost of CPIs ($. Million) </t>
  </si>
  <si>
    <t>No of working days</t>
  </si>
  <si>
    <r>
      <t xml:space="preserve">Rural Support Programmes (RSPs) in Pakistan, District-wise RSPs Coverage/Outreach as of March </t>
    </r>
    <r>
      <rPr>
        <b/>
        <sz val="10"/>
        <color indexed="10"/>
        <rFont val="Calibri"/>
        <family val="2"/>
      </rPr>
      <t>2014</t>
    </r>
  </si>
  <si>
    <t># as of March 2014</t>
  </si>
  <si>
    <t>% coverage as of March 2014</t>
  </si>
  <si>
    <t>Number of Revenue Villages Having RSPs Presence (as of March 2014)</t>
  </si>
  <si>
    <r>
      <t>Rural Support Programmes (RSPs) in Pakistan, Cumulative Progress as of March</t>
    </r>
    <r>
      <rPr>
        <b/>
        <sz val="10"/>
        <color indexed="10"/>
        <rFont val="Calibri"/>
        <family val="2"/>
      </rPr>
      <t xml:space="preserve"> 2014</t>
    </r>
  </si>
  <si>
    <t>Added in March 2014</t>
  </si>
  <si>
    <t>Chiniot (Overlapping)</t>
  </si>
  <si>
    <t>New added in March 2014</t>
  </si>
  <si>
    <t>Umer Kot (Overlapping)</t>
  </si>
  <si>
    <t>Note: ** The 120 include 115 districts and 5 Federally Administered Tribal Areas.   Punjab RSP after restructuring in mid 2011, closed its operation in four districts, Chiniot, Nankana Sahib, DG Khan and Rajanpur.</t>
  </si>
  <si>
    <t xml:space="preserve">* The total figure for districts/areas and union councils excludes 27 overlapping districts (presence of multiple RSP) and 663 overlapping union councils 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</si>
</sst>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</numFmts>
  <fonts count="4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rgb="FF00008B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73">
    <xf numFmtId="0" fontId="0" fillId="0" borderId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5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292">
    <xf numFmtId="0" fontId="0" fillId="0" borderId="0" xfId="0"/>
    <xf numFmtId="0" fontId="26" fillId="0" borderId="0" xfId="0" applyFont="1" applyFill="1"/>
    <xf numFmtId="165" fontId="27" fillId="0" borderId="0" xfId="508" applyNumberFormat="1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27" fillId="0" borderId="0" xfId="0" applyFont="1" applyFill="1"/>
    <xf numFmtId="0" fontId="26" fillId="24" borderId="0" xfId="0" applyFont="1" applyFill="1"/>
    <xf numFmtId="0" fontId="26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165" fontId="26" fillId="0" borderId="0" xfId="0" applyNumberFormat="1" applyFont="1" applyFill="1" applyAlignment="1">
      <alignment horizontal="center"/>
    </xf>
    <xf numFmtId="166" fontId="26" fillId="0" borderId="0" xfId="508" applyNumberFormat="1" applyFont="1" applyFill="1"/>
    <xf numFmtId="43" fontId="26" fillId="0" borderId="0" xfId="0" applyNumberFormat="1" applyFont="1" applyFill="1"/>
    <xf numFmtId="165" fontId="26" fillId="0" borderId="0" xfId="508" applyNumberFormat="1" applyFont="1" applyFill="1"/>
    <xf numFmtId="165" fontId="28" fillId="0" borderId="0" xfId="508" applyNumberFormat="1" applyFont="1" applyFill="1" applyAlignment="1">
      <alignment horizontal="center"/>
    </xf>
    <xf numFmtId="0" fontId="29" fillId="0" borderId="0" xfId="0" applyFont="1" applyFill="1"/>
    <xf numFmtId="0" fontId="29" fillId="0" borderId="0" xfId="0" applyFont="1" applyFill="1" applyAlignment="1">
      <alignment horizontal="center"/>
    </xf>
    <xf numFmtId="165" fontId="29" fillId="0" borderId="0" xfId="508" applyNumberFormat="1" applyFont="1" applyFill="1" applyAlignment="1">
      <alignment horizontal="center"/>
    </xf>
    <xf numFmtId="166" fontId="29" fillId="0" borderId="0" xfId="508" applyNumberFormat="1" applyFont="1" applyFill="1" applyAlignment="1">
      <alignment horizontal="center"/>
    </xf>
    <xf numFmtId="165" fontId="28" fillId="24" borderId="10" xfId="508" applyNumberFormat="1" applyFont="1" applyFill="1" applyBorder="1" applyAlignment="1">
      <alignment horizontal="left" vertical="center"/>
    </xf>
    <xf numFmtId="0" fontId="28" fillId="24" borderId="11" xfId="0" applyFont="1" applyFill="1" applyBorder="1" applyAlignment="1">
      <alignment vertical="center"/>
    </xf>
    <xf numFmtId="165" fontId="28" fillId="24" borderId="11" xfId="508" applyNumberFormat="1" applyFont="1" applyFill="1" applyBorder="1" applyAlignment="1">
      <alignment horizontal="center" vertical="center"/>
    </xf>
    <xf numFmtId="166" fontId="28" fillId="24" borderId="11" xfId="508" applyNumberFormat="1" applyFont="1" applyFill="1" applyBorder="1" applyAlignment="1">
      <alignment horizontal="center" vertical="center"/>
    </xf>
    <xf numFmtId="165" fontId="28" fillId="24" borderId="12" xfId="508" applyNumberFormat="1" applyFont="1" applyFill="1" applyBorder="1" applyAlignment="1">
      <alignment horizontal="center" vertical="center"/>
    </xf>
    <xf numFmtId="165" fontId="29" fillId="0" borderId="13" xfId="508" applyNumberFormat="1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vertical="center"/>
    </xf>
    <xf numFmtId="165" fontId="29" fillId="0" borderId="14" xfId="508" applyNumberFormat="1" applyFont="1" applyFill="1" applyBorder="1" applyAlignment="1">
      <alignment horizontal="center" vertical="center"/>
    </xf>
    <xf numFmtId="165" fontId="29" fillId="0" borderId="15" xfId="508" applyNumberFormat="1" applyFont="1" applyFill="1" applyBorder="1" applyAlignment="1">
      <alignment horizontal="center" vertical="center"/>
    </xf>
    <xf numFmtId="10" fontId="29" fillId="0" borderId="16" xfId="508" applyNumberFormat="1" applyFont="1" applyFill="1" applyBorder="1" applyAlignment="1">
      <alignment horizontal="center" vertical="center"/>
    </xf>
    <xf numFmtId="165" fontId="29" fillId="0" borderId="0" xfId="508" applyNumberFormat="1" applyFont="1" applyFill="1" applyBorder="1" applyAlignment="1">
      <alignment horizontal="center" vertical="center"/>
    </xf>
    <xf numFmtId="165" fontId="29" fillId="24" borderId="11" xfId="508" applyNumberFormat="1" applyFont="1" applyFill="1" applyBorder="1" applyAlignment="1">
      <alignment horizontal="center" vertical="center"/>
    </xf>
    <xf numFmtId="165" fontId="29" fillId="0" borderId="17" xfId="508" applyNumberFormat="1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/>
    </xf>
    <xf numFmtId="0" fontId="29" fillId="0" borderId="16" xfId="0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left" vertical="center"/>
    </xf>
    <xf numFmtId="165" fontId="29" fillId="25" borderId="14" xfId="508" applyNumberFormat="1" applyFont="1" applyFill="1" applyBorder="1" applyAlignment="1">
      <alignment horizontal="center" vertical="center"/>
    </xf>
    <xf numFmtId="165" fontId="28" fillId="0" borderId="0" xfId="508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165" fontId="29" fillId="0" borderId="18" xfId="508" applyNumberFormat="1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vertical="center"/>
    </xf>
    <xf numFmtId="165" fontId="29" fillId="0" borderId="19" xfId="508" applyNumberFormat="1" applyFont="1" applyFill="1" applyBorder="1" applyAlignment="1">
      <alignment horizontal="center" vertical="center"/>
    </xf>
    <xf numFmtId="165" fontId="29" fillId="0" borderId="20" xfId="508" applyNumberFormat="1" applyFont="1" applyFill="1" applyBorder="1" applyAlignment="1">
      <alignment horizontal="center" vertical="center"/>
    </xf>
    <xf numFmtId="165" fontId="29" fillId="0" borderId="21" xfId="508" applyNumberFormat="1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5" fontId="28" fillId="0" borderId="23" xfId="508" applyNumberFormat="1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165" fontId="28" fillId="0" borderId="24" xfId="508" applyNumberFormat="1" applyFont="1" applyFill="1" applyBorder="1" applyAlignment="1">
      <alignment horizontal="center" vertical="center"/>
    </xf>
    <xf numFmtId="165" fontId="29" fillId="0" borderId="24" xfId="508" applyNumberFormat="1" applyFont="1" applyFill="1" applyBorder="1" applyAlignment="1">
      <alignment horizontal="center" vertical="center"/>
    </xf>
    <xf numFmtId="10" fontId="28" fillId="0" borderId="25" xfId="508" applyNumberFormat="1" applyFont="1" applyFill="1" applyBorder="1" applyAlignment="1">
      <alignment horizontal="center" vertical="center"/>
    </xf>
    <xf numFmtId="0" fontId="29" fillId="0" borderId="14" xfId="0" applyFont="1" applyBorder="1"/>
    <xf numFmtId="0" fontId="28" fillId="0" borderId="0" xfId="0" applyFont="1" applyFill="1" applyBorder="1" applyAlignment="1">
      <alignment horizontal="center" vertical="center"/>
    </xf>
    <xf numFmtId="10" fontId="28" fillId="0" borderId="0" xfId="508" applyNumberFormat="1" applyFont="1" applyFill="1" applyBorder="1" applyAlignment="1">
      <alignment horizontal="center" vertical="center"/>
    </xf>
    <xf numFmtId="165" fontId="28" fillId="0" borderId="26" xfId="508" applyNumberFormat="1" applyFont="1" applyFill="1" applyBorder="1"/>
    <xf numFmtId="0" fontId="28" fillId="0" borderId="27" xfId="0" applyFont="1" applyFill="1" applyBorder="1"/>
    <xf numFmtId="165" fontId="28" fillId="0" borderId="28" xfId="508" applyNumberFormat="1" applyFont="1" applyFill="1" applyBorder="1" applyAlignment="1">
      <alignment horizontal="center" vertical="center"/>
    </xf>
    <xf numFmtId="165" fontId="28" fillId="0" borderId="29" xfId="508" applyNumberFormat="1" applyFont="1" applyFill="1" applyBorder="1" applyAlignment="1">
      <alignment horizontal="center" vertical="center"/>
    </xf>
    <xf numFmtId="165" fontId="28" fillId="0" borderId="30" xfId="508" applyNumberFormat="1" applyFont="1" applyFill="1" applyBorder="1" applyAlignment="1">
      <alignment horizontal="center" vertical="center"/>
    </xf>
    <xf numFmtId="165" fontId="28" fillId="0" borderId="31" xfId="508" applyNumberFormat="1" applyFont="1" applyFill="1" applyBorder="1" applyAlignment="1">
      <alignment horizontal="center" vertical="center"/>
    </xf>
    <xf numFmtId="165" fontId="28" fillId="0" borderId="27" xfId="508" applyNumberFormat="1" applyFont="1" applyFill="1" applyBorder="1" applyAlignment="1">
      <alignment horizontal="center" vertical="center"/>
    </xf>
    <xf numFmtId="165" fontId="29" fillId="0" borderId="14" xfId="508" applyNumberFormat="1" applyFont="1" applyFill="1" applyBorder="1" applyAlignment="1">
      <alignment vertical="center"/>
    </xf>
    <xf numFmtId="165" fontId="29" fillId="0" borderId="0" xfId="508" applyNumberFormat="1" applyFont="1" applyFill="1" applyAlignment="1">
      <alignment horizontal="center" vertical="center"/>
    </xf>
    <xf numFmtId="164" fontId="30" fillId="0" borderId="0" xfId="508" applyNumberFormat="1" applyFont="1" applyFill="1" applyBorder="1"/>
    <xf numFmtId="0" fontId="30" fillId="0" borderId="0" xfId="0" applyFont="1"/>
    <xf numFmtId="0" fontId="31" fillId="0" borderId="0" xfId="0" applyFont="1" applyFill="1" applyBorder="1"/>
    <xf numFmtId="0" fontId="31" fillId="0" borderId="0" xfId="0" applyFont="1" applyFill="1" applyBorder="1" applyAlignment="1">
      <alignment horizontal="center"/>
    </xf>
    <xf numFmtId="164" fontId="30" fillId="0" borderId="0" xfId="508" applyNumberFormat="1" applyFont="1"/>
    <xf numFmtId="164" fontId="30" fillId="0" borderId="14" xfId="508" applyNumberFormat="1" applyFont="1" applyBorder="1" applyAlignment="1">
      <alignment horizontal="center" wrapText="1"/>
    </xf>
    <xf numFmtId="164" fontId="30" fillId="0" borderId="14" xfId="508" applyNumberFormat="1" applyFont="1" applyFill="1" applyBorder="1" applyAlignment="1">
      <alignment horizontal="center" wrapText="1"/>
    </xf>
    <xf numFmtId="164" fontId="31" fillId="24" borderId="14" xfId="508" applyNumberFormat="1" applyFont="1" applyFill="1" applyBorder="1" applyAlignment="1">
      <alignment horizontal="center" wrapText="1"/>
    </xf>
    <xf numFmtId="43" fontId="30" fillId="0" borderId="0" xfId="508" applyFont="1"/>
    <xf numFmtId="165" fontId="30" fillId="0" borderId="0" xfId="508" applyNumberFormat="1" applyFont="1"/>
    <xf numFmtId="38" fontId="30" fillId="0" borderId="0" xfId="0" applyNumberFormat="1" applyFont="1"/>
    <xf numFmtId="38" fontId="30" fillId="0" borderId="0" xfId="508" applyNumberFormat="1" applyFont="1"/>
    <xf numFmtId="40" fontId="30" fillId="0" borderId="0" xfId="508" applyNumberFormat="1" applyFont="1"/>
    <xf numFmtId="0" fontId="30" fillId="0" borderId="0" xfId="0" applyFont="1" applyAlignment="1">
      <alignment vertical="center"/>
    </xf>
    <xf numFmtId="164" fontId="31" fillId="24" borderId="32" xfId="508" applyNumberFormat="1" applyFont="1" applyFill="1" applyBorder="1" applyAlignment="1">
      <alignment horizontal="center" wrapText="1"/>
    </xf>
    <xf numFmtId="0" fontId="30" fillId="0" borderId="0" xfId="0" applyFont="1" applyBorder="1"/>
    <xf numFmtId="164" fontId="30" fillId="0" borderId="0" xfId="0" applyNumberFormat="1" applyFont="1"/>
    <xf numFmtId="0" fontId="30" fillId="0" borderId="0" xfId="0" applyFont="1" applyAlignment="1">
      <alignment vertical="top"/>
    </xf>
    <xf numFmtId="0" fontId="31" fillId="0" borderId="31" xfId="0" applyFont="1" applyFill="1" applyBorder="1" applyAlignment="1">
      <alignment horizontal="center" vertical="center"/>
    </xf>
    <xf numFmtId="165" fontId="29" fillId="0" borderId="16" xfId="508" applyNumberFormat="1" applyFont="1" applyFill="1" applyBorder="1" applyAlignment="1">
      <alignment horizontal="left" vertical="center"/>
    </xf>
    <xf numFmtId="165" fontId="29" fillId="0" borderId="16" xfId="508" applyNumberFormat="1" applyFont="1" applyFill="1" applyBorder="1" applyAlignment="1">
      <alignment horizontal="center" vertical="center"/>
    </xf>
    <xf numFmtId="9" fontId="28" fillId="0" borderId="0" xfId="508" applyNumberFormat="1" applyFont="1" applyFill="1" applyBorder="1" applyAlignment="1">
      <alignment horizontal="center" vertical="center"/>
    </xf>
    <xf numFmtId="165" fontId="28" fillId="0" borderId="0" xfId="508" applyNumberFormat="1" applyFont="1" applyFill="1" applyAlignment="1">
      <alignment horizontal="left"/>
    </xf>
    <xf numFmtId="165" fontId="29" fillId="0" borderId="0" xfId="508" applyNumberFormat="1" applyFont="1" applyFill="1" applyAlignment="1">
      <alignment horizontal="left"/>
    </xf>
    <xf numFmtId="165" fontId="29" fillId="0" borderId="33" xfId="508" applyNumberFormat="1" applyFont="1" applyFill="1" applyBorder="1" applyAlignment="1">
      <alignment horizontal="left" vertical="center" wrapText="1"/>
    </xf>
    <xf numFmtId="164" fontId="30" fillId="0" borderId="0" xfId="508" applyNumberFormat="1" applyFont="1" applyFill="1"/>
    <xf numFmtId="43" fontId="30" fillId="0" borderId="0" xfId="508" applyFont="1" applyFill="1"/>
    <xf numFmtId="43" fontId="26" fillId="0" borderId="0" xfId="0" applyNumberFormat="1" applyFont="1" applyFill="1" applyAlignment="1">
      <alignment vertical="center"/>
    </xf>
    <xf numFmtId="9" fontId="28" fillId="24" borderId="32" xfId="508" applyNumberFormat="1" applyFont="1" applyFill="1" applyBorder="1" applyAlignment="1">
      <alignment horizontal="center" vertical="center" wrapText="1"/>
    </xf>
    <xf numFmtId="165" fontId="29" fillId="0" borderId="22" xfId="508" applyNumberFormat="1" applyFont="1" applyFill="1" applyBorder="1" applyAlignment="1">
      <alignment horizontal="center" vertical="center"/>
    </xf>
    <xf numFmtId="165" fontId="28" fillId="0" borderId="23" xfId="508" applyNumberFormat="1" applyFont="1" applyFill="1" applyBorder="1" applyAlignment="1">
      <alignment horizontal="center"/>
    </xf>
    <xf numFmtId="0" fontId="29" fillId="0" borderId="24" xfId="0" applyFont="1" applyFill="1" applyBorder="1"/>
    <xf numFmtId="0" fontId="29" fillId="0" borderId="25" xfId="0" applyFont="1" applyFill="1" applyBorder="1" applyAlignment="1">
      <alignment horizontal="center"/>
    </xf>
    <xf numFmtId="0" fontId="29" fillId="0" borderId="13" xfId="0" applyFont="1" applyFill="1" applyBorder="1" applyAlignment="1">
      <alignment vertical="center"/>
    </xf>
    <xf numFmtId="165" fontId="29" fillId="0" borderId="16" xfId="508" applyNumberFormat="1" applyFont="1" applyFill="1" applyBorder="1" applyAlignment="1">
      <alignment vertical="center"/>
    </xf>
    <xf numFmtId="0" fontId="29" fillId="0" borderId="33" xfId="0" applyFont="1" applyFill="1" applyBorder="1" applyAlignment="1">
      <alignment vertical="center"/>
    </xf>
    <xf numFmtId="0" fontId="29" fillId="0" borderId="28" xfId="0" applyFont="1" applyFill="1" applyBorder="1" applyAlignment="1">
      <alignment vertical="center"/>
    </xf>
    <xf numFmtId="165" fontId="29" fillId="0" borderId="28" xfId="508" applyNumberFormat="1" applyFont="1" applyFill="1" applyBorder="1" applyAlignment="1">
      <alignment horizontal="left" vertical="center"/>
    </xf>
    <xf numFmtId="165" fontId="29" fillId="0" borderId="31" xfId="508" applyNumberFormat="1" applyFont="1" applyFill="1" applyBorder="1" applyAlignment="1">
      <alignment horizontal="left" vertical="center" wrapText="1"/>
    </xf>
    <xf numFmtId="43" fontId="0" fillId="0" borderId="0" xfId="0" applyNumberFormat="1"/>
    <xf numFmtId="165" fontId="29" fillId="0" borderId="15" xfId="508" applyNumberFormat="1" applyFont="1" applyFill="1" applyBorder="1" applyAlignment="1">
      <alignment vertical="center"/>
    </xf>
    <xf numFmtId="165" fontId="29" fillId="0" borderId="28" xfId="508" applyNumberFormat="1" applyFont="1" applyFill="1" applyBorder="1" applyAlignment="1">
      <alignment horizontal="center" vertical="center"/>
    </xf>
    <xf numFmtId="0" fontId="30" fillId="0" borderId="0" xfId="0" applyFont="1" applyFill="1"/>
    <xf numFmtId="167" fontId="29" fillId="0" borderId="14" xfId="508" applyNumberFormat="1" applyFont="1" applyFill="1" applyBorder="1" applyAlignment="1">
      <alignment horizontal="center" vertical="center"/>
    </xf>
    <xf numFmtId="167" fontId="29" fillId="0" borderId="0" xfId="508" applyNumberFormat="1" applyFont="1" applyFill="1" applyBorder="1" applyAlignment="1">
      <alignment horizontal="center" vertical="center"/>
    </xf>
    <xf numFmtId="167" fontId="29" fillId="24" borderId="11" xfId="508" applyNumberFormat="1" applyFont="1" applyFill="1" applyBorder="1" applyAlignment="1">
      <alignment horizontal="center" vertical="center"/>
    </xf>
    <xf numFmtId="167" fontId="29" fillId="0" borderId="24" xfId="508" applyNumberFormat="1" applyFont="1" applyFill="1" applyBorder="1" applyAlignment="1">
      <alignment horizontal="center" vertical="center"/>
    </xf>
    <xf numFmtId="167" fontId="28" fillId="0" borderId="0" xfId="508" applyNumberFormat="1" applyFont="1" applyFill="1" applyBorder="1" applyAlignment="1">
      <alignment horizontal="center" vertical="center"/>
    </xf>
    <xf numFmtId="167" fontId="29" fillId="0" borderId="28" xfId="508" applyNumberFormat="1" applyFont="1" applyFill="1" applyBorder="1" applyAlignment="1">
      <alignment horizontal="center" vertical="center"/>
    </xf>
    <xf numFmtId="43" fontId="30" fillId="0" borderId="14" xfId="508" applyFont="1" applyFill="1" applyBorder="1" applyAlignment="1">
      <alignment horizontal="center" vertical="center" wrapText="1"/>
    </xf>
    <xf numFmtId="167" fontId="30" fillId="0" borderId="14" xfId="508" applyNumberFormat="1" applyFont="1" applyFill="1" applyBorder="1" applyAlignment="1">
      <alignment horizontal="center" vertical="center" wrapText="1"/>
    </xf>
    <xf numFmtId="164" fontId="30" fillId="0" borderId="14" xfId="508" applyNumberFormat="1" applyFont="1" applyBorder="1" applyAlignment="1">
      <alignment horizontal="center" vertical="center" wrapText="1"/>
    </xf>
    <xf numFmtId="164" fontId="30" fillId="0" borderId="14" xfId="508" applyNumberFormat="1" applyFont="1" applyFill="1" applyBorder="1" applyAlignment="1">
      <alignment horizontal="center" vertical="center" wrapText="1"/>
    </xf>
    <xf numFmtId="164" fontId="31" fillId="24" borderId="14" xfId="508" applyNumberFormat="1" applyFont="1" applyFill="1" applyBorder="1" applyAlignment="1">
      <alignment horizontal="center" vertical="center" wrapText="1"/>
    </xf>
    <xf numFmtId="164" fontId="31" fillId="24" borderId="14" xfId="508" applyNumberFormat="1" applyFont="1" applyFill="1" applyBorder="1" applyAlignment="1">
      <alignment horizontal="center" vertical="center"/>
    </xf>
    <xf numFmtId="43" fontId="30" fillId="0" borderId="14" xfId="508" applyFont="1" applyBorder="1" applyAlignment="1">
      <alignment horizontal="center" vertical="center" wrapText="1"/>
    </xf>
    <xf numFmtId="43" fontId="31" fillId="24" borderId="14" xfId="508" applyFont="1" applyFill="1" applyBorder="1" applyAlignment="1">
      <alignment horizontal="center" vertical="center" wrapText="1"/>
    </xf>
    <xf numFmtId="167" fontId="30" fillId="0" borderId="0" xfId="508" applyNumberFormat="1" applyFont="1" applyFill="1"/>
    <xf numFmtId="167" fontId="30" fillId="0" borderId="0" xfId="508" applyNumberFormat="1" applyFont="1"/>
    <xf numFmtId="165" fontId="30" fillId="0" borderId="0" xfId="0" applyNumberFormat="1" applyFont="1"/>
    <xf numFmtId="165" fontId="28" fillId="0" borderId="0" xfId="508" applyNumberFormat="1" applyFont="1" applyFill="1" applyBorder="1" applyAlignment="1">
      <alignment horizontal="left" vertical="center"/>
    </xf>
    <xf numFmtId="0" fontId="28" fillId="0" borderId="0" xfId="0" applyFont="1" applyBorder="1"/>
    <xf numFmtId="0" fontId="0" fillId="0" borderId="14" xfId="0" applyBorder="1"/>
    <xf numFmtId="0" fontId="29" fillId="0" borderId="34" xfId="0" applyFont="1" applyFill="1" applyBorder="1" applyAlignment="1">
      <alignment horizontal="left" vertical="center"/>
    </xf>
    <xf numFmtId="165" fontId="28" fillId="0" borderId="35" xfId="508" applyNumberFormat="1" applyFont="1" applyFill="1" applyBorder="1" applyAlignment="1">
      <alignment vertical="center" wrapText="1"/>
    </xf>
    <xf numFmtId="165" fontId="28" fillId="0" borderId="34" xfId="508" applyNumberFormat="1" applyFont="1" applyFill="1" applyBorder="1" applyAlignment="1">
      <alignment vertical="center" wrapText="1"/>
    </xf>
    <xf numFmtId="165" fontId="29" fillId="0" borderId="14" xfId="508" applyNumberFormat="1" applyFont="1" applyFill="1" applyBorder="1" applyAlignment="1">
      <alignment horizontal="left" vertical="center"/>
    </xf>
    <xf numFmtId="167" fontId="0" fillId="0" borderId="14" xfId="508" applyNumberFormat="1" applyFont="1" applyBorder="1"/>
    <xf numFmtId="165" fontId="0" fillId="0" borderId="14" xfId="508" applyNumberFormat="1" applyFont="1" applyBorder="1"/>
    <xf numFmtId="0" fontId="28" fillId="0" borderId="14" xfId="0" applyFont="1" applyFill="1" applyBorder="1" applyAlignment="1">
      <alignment horizontal="left" vertical="center"/>
    </xf>
    <xf numFmtId="165" fontId="30" fillId="0" borderId="0" xfId="508" applyNumberFormat="1" applyFont="1" applyFill="1" applyBorder="1" applyAlignment="1">
      <alignment horizontal="center" vertical="center" wrapText="1"/>
    </xf>
    <xf numFmtId="0" fontId="26" fillId="26" borderId="0" xfId="0" applyFont="1" applyFill="1" applyAlignment="1">
      <alignment vertical="center"/>
    </xf>
    <xf numFmtId="165" fontId="30" fillId="25" borderId="14" xfId="508" applyNumberFormat="1" applyFont="1" applyFill="1" applyBorder="1" applyAlignment="1">
      <alignment horizontal="center" vertical="center" wrapText="1"/>
    </xf>
    <xf numFmtId="165" fontId="28" fillId="0" borderId="36" xfId="508" applyNumberFormat="1" applyFont="1" applyFill="1" applyBorder="1" applyAlignment="1">
      <alignment horizontal="center" vertical="center"/>
    </xf>
    <xf numFmtId="9" fontId="32" fillId="24" borderId="32" xfId="508" applyNumberFormat="1" applyFont="1" applyFill="1" applyBorder="1" applyAlignment="1">
      <alignment horizontal="center" vertical="center" wrapText="1"/>
    </xf>
    <xf numFmtId="167" fontId="29" fillId="0" borderId="19" xfId="508" applyNumberFormat="1" applyFont="1" applyFill="1" applyBorder="1" applyAlignment="1">
      <alignment horizontal="center" vertical="center"/>
    </xf>
    <xf numFmtId="167" fontId="29" fillId="0" borderId="17" xfId="508" applyNumberFormat="1" applyFont="1" applyFill="1" applyBorder="1" applyAlignment="1">
      <alignment horizontal="center" vertical="center"/>
    </xf>
    <xf numFmtId="167" fontId="29" fillId="0" borderId="29" xfId="508" applyNumberFormat="1" applyFont="1" applyFill="1" applyBorder="1" applyAlignment="1">
      <alignment horizontal="center" vertical="center"/>
    </xf>
    <xf numFmtId="37" fontId="26" fillId="0" borderId="0" xfId="508" applyNumberFormat="1" applyFont="1" applyFill="1" applyAlignment="1">
      <alignment horizontal="right"/>
    </xf>
    <xf numFmtId="164" fontId="30" fillId="0" borderId="14" xfId="508" applyNumberFormat="1" applyFont="1" applyBorder="1"/>
    <xf numFmtId="0" fontId="28" fillId="0" borderId="27" xfId="0" applyFont="1" applyFill="1" applyBorder="1" applyAlignment="1">
      <alignment horizontal="left" vertical="center"/>
    </xf>
    <xf numFmtId="9" fontId="28" fillId="0" borderId="36" xfId="508" applyNumberFormat="1" applyFont="1" applyFill="1" applyBorder="1" applyAlignment="1">
      <alignment horizontal="center" vertical="center"/>
    </xf>
    <xf numFmtId="165" fontId="28" fillId="0" borderId="37" xfId="508" applyNumberFormat="1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left" vertical="center"/>
    </xf>
    <xf numFmtId="165" fontId="29" fillId="0" borderId="22" xfId="508" applyNumberFormat="1" applyFont="1" applyFill="1" applyBorder="1" applyAlignment="1">
      <alignment vertical="center"/>
    </xf>
    <xf numFmtId="165" fontId="29" fillId="0" borderId="21" xfId="508" applyNumberFormat="1" applyFont="1" applyFill="1" applyBorder="1" applyAlignment="1">
      <alignment vertical="center"/>
    </xf>
    <xf numFmtId="165" fontId="29" fillId="0" borderId="19" xfId="508" applyNumberFormat="1" applyFont="1" applyFill="1" applyBorder="1" applyAlignment="1">
      <alignment vertical="center"/>
    </xf>
    <xf numFmtId="0" fontId="29" fillId="0" borderId="18" xfId="0" applyFont="1" applyFill="1" applyBorder="1" applyAlignment="1">
      <alignment vertical="center"/>
    </xf>
    <xf numFmtId="167" fontId="29" fillId="0" borderId="38" xfId="508" applyNumberFormat="1" applyFont="1" applyFill="1" applyBorder="1" applyAlignment="1">
      <alignment horizontal="center" vertical="center"/>
    </xf>
    <xf numFmtId="167" fontId="29" fillId="0" borderId="20" xfId="508" applyNumberFormat="1" applyFont="1" applyFill="1" applyBorder="1" applyAlignment="1">
      <alignment horizontal="center" vertical="center"/>
    </xf>
    <xf numFmtId="0" fontId="28" fillId="0" borderId="27" xfId="0" applyFont="1" applyFill="1" applyBorder="1" applyAlignment="1">
      <alignment horizontal="center" vertical="center"/>
    </xf>
    <xf numFmtId="165" fontId="28" fillId="0" borderId="26" xfId="508" applyNumberFormat="1" applyFont="1" applyFill="1" applyBorder="1" applyAlignment="1">
      <alignment horizontal="center" vertical="center"/>
    </xf>
    <xf numFmtId="167" fontId="28" fillId="0" borderId="27" xfId="508" applyNumberFormat="1" applyFont="1" applyFill="1" applyBorder="1" applyAlignment="1">
      <alignment horizontal="center" vertical="center"/>
    </xf>
    <xf numFmtId="165" fontId="28" fillId="0" borderId="39" xfId="508" applyNumberFormat="1" applyFont="1" applyFill="1" applyBorder="1" applyAlignment="1">
      <alignment horizontal="center" vertical="center"/>
    </xf>
    <xf numFmtId="10" fontId="28" fillId="0" borderId="36" xfId="508" applyNumberFormat="1" applyFont="1" applyFill="1" applyBorder="1" applyAlignment="1">
      <alignment horizontal="center" vertical="center"/>
    </xf>
    <xf numFmtId="0" fontId="28" fillId="0" borderId="26" xfId="0" applyFont="1" applyFill="1" applyBorder="1" applyAlignment="1">
      <alignment horizontal="center" vertical="center"/>
    </xf>
    <xf numFmtId="10" fontId="29" fillId="0" borderId="22" xfId="508" applyNumberFormat="1" applyFont="1" applyFill="1" applyBorder="1" applyAlignment="1">
      <alignment horizontal="center" vertical="center"/>
    </xf>
    <xf numFmtId="165" fontId="33" fillId="0" borderId="14" xfId="508" applyNumberFormat="1" applyFont="1" applyFill="1" applyBorder="1" applyAlignment="1">
      <alignment horizontal="center" vertical="center" wrapText="1"/>
    </xf>
    <xf numFmtId="165" fontId="26" fillId="0" borderId="0" xfId="0" applyNumberFormat="1" applyFont="1" applyFill="1" applyAlignment="1">
      <alignment vertical="center"/>
    </xf>
    <xf numFmtId="167" fontId="0" fillId="0" borderId="0" xfId="508" applyNumberFormat="1" applyFont="1"/>
    <xf numFmtId="165" fontId="30" fillId="0" borderId="14" xfId="508" applyNumberFormat="1" applyFont="1" applyFill="1" applyBorder="1" applyAlignment="1">
      <alignment horizontal="center" vertical="center" wrapText="1"/>
    </xf>
    <xf numFmtId="165" fontId="30" fillId="24" borderId="14" xfId="508" applyNumberFormat="1" applyFont="1" applyFill="1" applyBorder="1" applyAlignment="1">
      <alignment horizontal="center" vertical="center" wrapText="1"/>
    </xf>
    <xf numFmtId="0" fontId="31" fillId="28" borderId="28" xfId="0" applyFont="1" applyFill="1" applyBorder="1" applyAlignment="1">
      <alignment horizontal="center" vertical="center"/>
    </xf>
    <xf numFmtId="0" fontId="30" fillId="27" borderId="0" xfId="0" applyFont="1" applyFill="1"/>
    <xf numFmtId="164" fontId="30" fillId="0" borderId="0" xfId="0" applyNumberFormat="1" applyFont="1" applyFill="1"/>
    <xf numFmtId="165" fontId="8" fillId="0" borderId="14" xfId="508" applyNumberFormat="1" applyFont="1" applyFill="1" applyBorder="1" applyAlignment="1">
      <alignment vertical="center"/>
    </xf>
    <xf numFmtId="165" fontId="8" fillId="0" borderId="14" xfId="508" applyNumberFormat="1" applyFont="1" applyFill="1" applyBorder="1" applyAlignment="1">
      <alignment horizontal="center" vertical="center"/>
    </xf>
    <xf numFmtId="165" fontId="36" fillId="0" borderId="14" xfId="508" applyNumberFormat="1" applyFont="1" applyBorder="1"/>
    <xf numFmtId="43" fontId="30" fillId="24" borderId="14" xfId="508" applyNumberFormat="1" applyFont="1" applyFill="1" applyBorder="1" applyAlignment="1">
      <alignment horizontal="center" vertical="center" wrapText="1"/>
    </xf>
    <xf numFmtId="165" fontId="29" fillId="0" borderId="14" xfId="508" applyNumberFormat="1" applyFont="1" applyFill="1" applyBorder="1" applyAlignment="1">
      <alignment horizontal="center" vertical="center" wrapText="1"/>
    </xf>
    <xf numFmtId="165" fontId="29" fillId="28" borderId="14" xfId="508" applyNumberFormat="1" applyFont="1" applyFill="1" applyBorder="1" applyAlignment="1">
      <alignment horizontal="center" vertical="center" wrapText="1"/>
    </xf>
    <xf numFmtId="0" fontId="38" fillId="0" borderId="0" xfId="669" applyFont="1" applyBorder="1"/>
    <xf numFmtId="0" fontId="8" fillId="0" borderId="0" xfId="669"/>
    <xf numFmtId="0" fontId="2" fillId="0" borderId="0" xfId="868"/>
    <xf numFmtId="17" fontId="27" fillId="29" borderId="14" xfId="669" applyNumberFormat="1" applyFont="1" applyFill="1" applyBorder="1" applyAlignment="1">
      <alignment horizontal="center" vertical="center"/>
    </xf>
    <xf numFmtId="164" fontId="26" fillId="0" borderId="15" xfId="869" applyNumberFormat="1" applyFont="1" applyFill="1" applyBorder="1" applyAlignment="1">
      <alignment horizontal="left" vertical="top"/>
    </xf>
    <xf numFmtId="164" fontId="26" fillId="0" borderId="17" xfId="869" applyNumberFormat="1" applyFont="1" applyFill="1" applyBorder="1" applyAlignment="1"/>
    <xf numFmtId="164" fontId="8" fillId="0" borderId="14" xfId="869" applyNumberFormat="1" applyFont="1" applyBorder="1"/>
    <xf numFmtId="165" fontId="30" fillId="0" borderId="14" xfId="870" applyNumberFormat="1" applyFont="1" applyFill="1" applyBorder="1" applyAlignment="1">
      <alignment horizontal="center" vertical="center" wrapText="1"/>
    </xf>
    <xf numFmtId="164" fontId="26" fillId="0" borderId="15" xfId="869" applyNumberFormat="1" applyFont="1" applyFill="1" applyBorder="1" applyAlignment="1"/>
    <xf numFmtId="164" fontId="26" fillId="0" borderId="14" xfId="869" applyNumberFormat="1" applyFont="1" applyFill="1" applyBorder="1" applyAlignment="1">
      <alignment horizontal="left"/>
    </xf>
    <xf numFmtId="164" fontId="26" fillId="0" borderId="14" xfId="869" applyNumberFormat="1" applyFont="1" applyFill="1" applyBorder="1" applyAlignment="1">
      <alignment horizontal="center"/>
    </xf>
    <xf numFmtId="164" fontId="8" fillId="0" borderId="14" xfId="869" applyNumberFormat="1" applyFont="1" applyBorder="1" applyAlignment="1">
      <alignment horizontal="right" vertical="center"/>
    </xf>
    <xf numFmtId="164" fontId="26" fillId="0" borderId="14" xfId="869" applyNumberFormat="1" applyFont="1" applyBorder="1" applyAlignment="1">
      <alignment horizontal="center" wrapText="1"/>
    </xf>
    <xf numFmtId="164" fontId="26" fillId="0" borderId="14" xfId="869" applyNumberFormat="1" applyFont="1" applyFill="1" applyBorder="1" applyAlignment="1">
      <alignment horizontal="center" wrapText="1"/>
    </xf>
    <xf numFmtId="164" fontId="27" fillId="29" borderId="14" xfId="869" applyNumberFormat="1" applyFont="1" applyFill="1" applyBorder="1" applyAlignment="1">
      <alignment horizontal="center" wrapText="1"/>
    </xf>
    <xf numFmtId="164" fontId="39" fillId="29" borderId="14" xfId="869" applyNumberFormat="1" applyFont="1" applyFill="1" applyBorder="1"/>
    <xf numFmtId="165" fontId="30" fillId="24" borderId="14" xfId="870" applyNumberFormat="1" applyFont="1" applyFill="1" applyBorder="1" applyAlignment="1">
      <alignment horizontal="center" vertical="center" wrapText="1"/>
    </xf>
    <xf numFmtId="0" fontId="26" fillId="0" borderId="14" xfId="869" applyFont="1" applyBorder="1" applyAlignment="1">
      <alignment horizontal="center" wrapText="1"/>
    </xf>
    <xf numFmtId="43" fontId="8" fillId="0" borderId="14" xfId="871" applyFont="1" applyBorder="1"/>
    <xf numFmtId="0" fontId="26" fillId="0" borderId="14" xfId="869" applyFont="1" applyFill="1" applyBorder="1" applyAlignment="1">
      <alignment horizontal="center" wrapText="1"/>
    </xf>
    <xf numFmtId="0" fontId="8" fillId="0" borderId="14" xfId="869" applyFont="1" applyBorder="1"/>
    <xf numFmtId="0" fontId="39" fillId="29" borderId="14" xfId="869" applyFont="1" applyFill="1" applyBorder="1"/>
    <xf numFmtId="164" fontId="26" fillId="0" borderId="14" xfId="869" applyNumberFormat="1" applyFont="1" applyFill="1" applyBorder="1" applyAlignment="1">
      <alignment horizontal="center" vertical="top" wrapText="1"/>
    </xf>
    <xf numFmtId="164" fontId="8" fillId="0" borderId="14" xfId="869" applyNumberFormat="1" applyFont="1" applyFill="1" applyBorder="1"/>
    <xf numFmtId="167" fontId="30" fillId="0" borderId="14" xfId="870" applyNumberFormat="1" applyFont="1" applyFill="1" applyBorder="1" applyAlignment="1">
      <alignment horizontal="center" vertical="center" wrapText="1"/>
    </xf>
    <xf numFmtId="43" fontId="39" fillId="0" borderId="14" xfId="871" applyFont="1" applyFill="1" applyBorder="1"/>
    <xf numFmtId="43" fontId="39" fillId="29" borderId="14" xfId="871" applyFont="1" applyFill="1" applyBorder="1"/>
    <xf numFmtId="164" fontId="39" fillId="29" borderId="14" xfId="869" applyNumberFormat="1" applyFont="1" applyFill="1" applyBorder="1" applyAlignment="1">
      <alignment horizontal="right"/>
    </xf>
    <xf numFmtId="38" fontId="8" fillId="0" borderId="14" xfId="869" applyNumberFormat="1" applyFont="1" applyBorder="1"/>
    <xf numFmtId="40" fontId="8" fillId="0" borderId="14" xfId="869" applyNumberFormat="1" applyFont="1" applyBorder="1"/>
    <xf numFmtId="165" fontId="26" fillId="0" borderId="14" xfId="869" applyNumberFormat="1" applyFont="1" applyBorder="1" applyAlignment="1">
      <alignment horizontal="center" vertical="center"/>
    </xf>
    <xf numFmtId="164" fontId="2" fillId="0" borderId="0" xfId="868" applyNumberFormat="1"/>
    <xf numFmtId="43" fontId="2" fillId="0" borderId="0" xfId="868" applyNumberFormat="1"/>
    <xf numFmtId="167" fontId="2" fillId="0" borderId="0" xfId="868" applyNumberFormat="1"/>
    <xf numFmtId="165" fontId="0" fillId="0" borderId="0" xfId="871" applyNumberFormat="1" applyFont="1"/>
    <xf numFmtId="167" fontId="0" fillId="0" borderId="0" xfId="871" applyNumberFormat="1" applyFont="1"/>
    <xf numFmtId="38" fontId="26" fillId="0" borderId="15" xfId="669" applyNumberFormat="1" applyFont="1" applyBorder="1" applyAlignment="1">
      <alignment vertical="center" wrapText="1"/>
    </xf>
    <xf numFmtId="165" fontId="26" fillId="0" borderId="17" xfId="871" applyNumberFormat="1" applyFont="1" applyBorder="1" applyAlignment="1">
      <alignment vertical="center" wrapText="1"/>
    </xf>
    <xf numFmtId="40" fontId="26" fillId="0" borderId="15" xfId="869" applyNumberFormat="1" applyFont="1" applyBorder="1" applyAlignment="1">
      <alignment vertical="center" wrapText="1"/>
    </xf>
    <xf numFmtId="0" fontId="36" fillId="0" borderId="45" xfId="868" applyFont="1" applyBorder="1" applyAlignment="1">
      <alignment vertical="top" wrapText="1"/>
    </xf>
    <xf numFmtId="167" fontId="8" fillId="0" borderId="14" xfId="871" applyNumberFormat="1" applyFont="1" applyBorder="1"/>
    <xf numFmtId="167" fontId="30" fillId="0" borderId="14" xfId="871" applyNumberFormat="1" applyFont="1" applyFill="1" applyBorder="1" applyAlignment="1">
      <alignment horizontal="center" vertical="center" wrapText="1"/>
    </xf>
    <xf numFmtId="167" fontId="39" fillId="29" borderId="14" xfId="871" applyNumberFormat="1" applyFont="1" applyFill="1" applyBorder="1"/>
    <xf numFmtId="164" fontId="26" fillId="0" borderId="19" xfId="869" applyNumberFormat="1" applyFont="1" applyBorder="1" applyAlignment="1">
      <alignment vertical="top" wrapText="1"/>
    </xf>
    <xf numFmtId="167" fontId="8" fillId="0" borderId="14" xfId="871" applyNumberFormat="1" applyFont="1" applyFill="1" applyBorder="1"/>
    <xf numFmtId="0" fontId="40" fillId="0" borderId="45" xfId="868" applyFont="1" applyBorder="1" applyAlignment="1">
      <alignment vertical="center" wrapText="1"/>
    </xf>
    <xf numFmtId="0" fontId="2" fillId="0" borderId="45" xfId="868" applyBorder="1" applyAlignment="1">
      <alignment vertical="center" wrapText="1"/>
    </xf>
    <xf numFmtId="0" fontId="31" fillId="0" borderId="28" xfId="0" applyFont="1" applyFill="1" applyBorder="1" applyAlignment="1">
      <alignment horizontal="center" vertical="center"/>
    </xf>
    <xf numFmtId="165" fontId="28" fillId="27" borderId="27" xfId="508" applyNumberFormat="1" applyFont="1" applyFill="1" applyBorder="1" applyAlignment="1">
      <alignment horizontal="center" vertical="center"/>
    </xf>
    <xf numFmtId="0" fontId="30" fillId="0" borderId="0" xfId="0" quotePrefix="1" applyFont="1" applyBorder="1"/>
    <xf numFmtId="0" fontId="1" fillId="0" borderId="0" xfId="868" applyFont="1"/>
    <xf numFmtId="0" fontId="29" fillId="0" borderId="22" xfId="0" applyFont="1" applyFill="1" applyBorder="1" applyAlignment="1">
      <alignment horizontal="center"/>
    </xf>
    <xf numFmtId="165" fontId="29" fillId="28" borderId="14" xfId="508" applyNumberFormat="1" applyFont="1" applyFill="1" applyBorder="1" applyAlignment="1">
      <alignment horizontal="center" vertical="center"/>
    </xf>
    <xf numFmtId="165" fontId="30" fillId="30" borderId="14" xfId="872" applyNumberFormat="1" applyFont="1" applyFill="1" applyBorder="1" applyAlignment="1">
      <alignment horizontal="center" vertical="center" wrapText="1"/>
    </xf>
    <xf numFmtId="165" fontId="30" fillId="24" borderId="14" xfId="872" applyNumberFormat="1" applyFont="1" applyFill="1" applyBorder="1" applyAlignment="1">
      <alignment horizontal="center" vertical="center" wrapText="1"/>
    </xf>
    <xf numFmtId="165" fontId="26" fillId="0" borderId="0" xfId="0" applyNumberFormat="1" applyFont="1" applyFill="1"/>
    <xf numFmtId="0" fontId="31" fillId="0" borderId="28" xfId="0" applyFont="1" applyFill="1" applyBorder="1" applyAlignment="1">
      <alignment horizontal="center" vertical="center"/>
    </xf>
    <xf numFmtId="165" fontId="29" fillId="28" borderId="13" xfId="508" applyNumberFormat="1" applyFont="1" applyFill="1" applyBorder="1" applyAlignment="1">
      <alignment horizontal="center" vertical="center"/>
    </xf>
    <xf numFmtId="0" fontId="29" fillId="28" borderId="14" xfId="0" applyFont="1" applyFill="1" applyBorder="1" applyAlignment="1">
      <alignment vertical="center"/>
    </xf>
    <xf numFmtId="167" fontId="29" fillId="28" borderId="14" xfId="508" applyNumberFormat="1" applyFont="1" applyFill="1" applyBorder="1" applyAlignment="1">
      <alignment horizontal="center" vertical="center"/>
    </xf>
    <xf numFmtId="10" fontId="29" fillId="28" borderId="16" xfId="508" applyNumberFormat="1" applyFont="1" applyFill="1" applyBorder="1" applyAlignment="1">
      <alignment horizontal="center" vertical="center"/>
    </xf>
    <xf numFmtId="0" fontId="26" fillId="28" borderId="0" xfId="0" applyFont="1" applyFill="1"/>
    <xf numFmtId="165" fontId="29" fillId="28" borderId="19" xfId="508" applyNumberFormat="1" applyFont="1" applyFill="1" applyBorder="1" applyAlignment="1">
      <alignment horizontal="center" vertical="center"/>
    </xf>
    <xf numFmtId="165" fontId="8" fillId="28" borderId="14" xfId="508" applyNumberFormat="1" applyFont="1" applyFill="1" applyBorder="1" applyAlignment="1">
      <alignment vertical="center"/>
    </xf>
    <xf numFmtId="165" fontId="29" fillId="28" borderId="16" xfId="508" applyNumberFormat="1" applyFont="1" applyFill="1" applyBorder="1" applyAlignment="1">
      <alignment horizontal="center" vertical="center"/>
    </xf>
    <xf numFmtId="0" fontId="29" fillId="28" borderId="13" xfId="0" applyFont="1" applyFill="1" applyBorder="1" applyAlignment="1">
      <alignment vertical="center"/>
    </xf>
    <xf numFmtId="165" fontId="29" fillId="28" borderId="14" xfId="508" applyNumberFormat="1" applyFont="1" applyFill="1" applyBorder="1" applyAlignment="1">
      <alignment vertical="center"/>
    </xf>
    <xf numFmtId="0" fontId="29" fillId="28" borderId="16" xfId="0" applyFont="1" applyFill="1" applyBorder="1" applyAlignment="1">
      <alignment horizontal="center" vertical="center"/>
    </xf>
    <xf numFmtId="0" fontId="26" fillId="28" borderId="0" xfId="0" applyFont="1" applyFill="1" applyAlignment="1">
      <alignment vertical="center"/>
    </xf>
    <xf numFmtId="43" fontId="26" fillId="0" borderId="0" xfId="508" applyFont="1" applyFill="1" applyAlignment="1">
      <alignment horizontal="center"/>
    </xf>
    <xf numFmtId="165" fontId="26" fillId="0" borderId="0" xfId="508" applyNumberFormat="1" applyFont="1" applyFill="1" applyAlignment="1">
      <alignment horizontal="center"/>
    </xf>
    <xf numFmtId="165" fontId="30" fillId="30" borderId="14" xfId="508" applyNumberFormat="1" applyFont="1" applyFill="1" applyBorder="1" applyAlignment="1">
      <alignment horizontal="center" vertical="center" wrapText="1"/>
    </xf>
    <xf numFmtId="0" fontId="36" fillId="0" borderId="0" xfId="868" applyFont="1" applyBorder="1" applyAlignment="1">
      <alignment vertical="top" wrapText="1"/>
    </xf>
    <xf numFmtId="17" fontId="27" fillId="29" borderId="0" xfId="669" applyNumberFormat="1" applyFont="1" applyFill="1" applyBorder="1" applyAlignment="1">
      <alignment horizontal="center" vertical="center"/>
    </xf>
    <xf numFmtId="164" fontId="29" fillId="0" borderId="0" xfId="508" applyNumberFormat="1" applyFont="1" applyFill="1"/>
    <xf numFmtId="0" fontId="28" fillId="24" borderId="11" xfId="0" applyFont="1" applyFill="1" applyBorder="1" applyAlignment="1">
      <alignment horizontal="center" vertical="center"/>
    </xf>
    <xf numFmtId="0" fontId="28" fillId="24" borderId="29" xfId="0" applyFont="1" applyFill="1" applyBorder="1" applyAlignment="1">
      <alignment horizontal="center" vertical="center"/>
    </xf>
    <xf numFmtId="37" fontId="28" fillId="24" borderId="35" xfId="508" applyNumberFormat="1" applyFont="1" applyFill="1" applyBorder="1" applyAlignment="1">
      <alignment horizontal="center" vertical="center" wrapText="1"/>
    </xf>
    <xf numFmtId="0" fontId="28" fillId="24" borderId="40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left" vertical="center"/>
    </xf>
    <xf numFmtId="37" fontId="28" fillId="0" borderId="24" xfId="508" applyNumberFormat="1" applyFont="1" applyFill="1" applyBorder="1" applyAlignment="1">
      <alignment horizontal="right" vertical="center"/>
    </xf>
    <xf numFmtId="165" fontId="28" fillId="24" borderId="33" xfId="508" applyNumberFormat="1" applyFont="1" applyFill="1" applyBorder="1" applyAlignment="1">
      <alignment horizontal="center" vertical="center" wrapText="1"/>
    </xf>
    <xf numFmtId="165" fontId="28" fillId="24" borderId="41" xfId="508" applyNumberFormat="1" applyFont="1" applyFill="1" applyBorder="1" applyAlignment="1">
      <alignment horizontal="center" vertical="center" wrapText="1"/>
    </xf>
    <xf numFmtId="165" fontId="28" fillId="24" borderId="28" xfId="508" applyNumberFormat="1" applyFont="1" applyFill="1" applyBorder="1" applyAlignment="1">
      <alignment horizontal="center" vertical="center" wrapText="1"/>
    </xf>
    <xf numFmtId="165" fontId="28" fillId="24" borderId="32" xfId="508" applyNumberFormat="1" applyFont="1" applyFill="1" applyBorder="1" applyAlignment="1">
      <alignment horizontal="center" vertical="center" wrapText="1"/>
    </xf>
    <xf numFmtId="43" fontId="28" fillId="24" borderId="31" xfId="508" applyNumberFormat="1" applyFont="1" applyFill="1" applyBorder="1" applyAlignment="1">
      <alignment horizontal="center" vertical="center" wrapText="1"/>
    </xf>
    <xf numFmtId="43" fontId="28" fillId="24" borderId="42" xfId="508" applyNumberFormat="1" applyFont="1" applyFill="1" applyBorder="1" applyAlignment="1">
      <alignment horizontal="center" vertical="center" wrapText="1"/>
    </xf>
    <xf numFmtId="37" fontId="37" fillId="24" borderId="35" xfId="508" applyNumberFormat="1" applyFont="1" applyFill="1" applyBorder="1" applyAlignment="1">
      <alignment horizontal="center" vertical="center" wrapText="1"/>
    </xf>
    <xf numFmtId="0" fontId="37" fillId="24" borderId="40" xfId="0" applyFont="1" applyFill="1" applyBorder="1" applyAlignment="1">
      <alignment horizontal="center" vertical="center" wrapText="1"/>
    </xf>
    <xf numFmtId="164" fontId="31" fillId="0" borderId="13" xfId="508" applyNumberFormat="1" applyFont="1" applyBorder="1" applyAlignment="1">
      <alignment horizontal="left" vertical="top" wrapText="1"/>
    </xf>
    <xf numFmtId="0" fontId="31" fillId="0" borderId="33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164" fontId="31" fillId="0" borderId="14" xfId="508" applyNumberFormat="1" applyFont="1" applyFill="1" applyBorder="1" applyAlignment="1">
      <alignment horizontal="left"/>
    </xf>
    <xf numFmtId="164" fontId="31" fillId="0" borderId="13" xfId="508" applyNumberFormat="1" applyFont="1" applyFill="1" applyBorder="1" applyAlignment="1">
      <alignment horizontal="left"/>
    </xf>
    <xf numFmtId="164" fontId="31" fillId="0" borderId="13" xfId="508" applyNumberFormat="1" applyFont="1" applyFill="1" applyBorder="1" applyAlignment="1">
      <alignment horizontal="left" vertical="top" wrapText="1"/>
    </xf>
    <xf numFmtId="43" fontId="31" fillId="0" borderId="13" xfId="508" applyFont="1" applyBorder="1" applyAlignment="1">
      <alignment horizontal="left" vertical="top" wrapText="1"/>
    </xf>
    <xf numFmtId="164" fontId="31" fillId="0" borderId="18" xfId="508" applyNumberFormat="1" applyFont="1" applyFill="1" applyBorder="1" applyAlignment="1">
      <alignment horizontal="left" vertical="top" wrapText="1"/>
    </xf>
    <xf numFmtId="164" fontId="31" fillId="0" borderId="43" xfId="508" applyNumberFormat="1" applyFont="1" applyFill="1" applyBorder="1" applyAlignment="1">
      <alignment horizontal="left" vertical="top" wrapText="1"/>
    </xf>
    <xf numFmtId="164" fontId="31" fillId="0" borderId="44" xfId="508" applyNumberFormat="1" applyFont="1" applyFill="1" applyBorder="1" applyAlignment="1">
      <alignment horizontal="left" vertical="top" wrapText="1"/>
    </xf>
    <xf numFmtId="38" fontId="28" fillId="0" borderId="13" xfId="508" applyNumberFormat="1" applyFont="1" applyBorder="1" applyAlignment="1">
      <alignment horizontal="left" vertical="top" wrapText="1"/>
    </xf>
    <xf numFmtId="164" fontId="31" fillId="0" borderId="41" xfId="508" applyNumberFormat="1" applyFont="1" applyBorder="1" applyAlignment="1">
      <alignment horizontal="left" vertical="top" wrapText="1"/>
    </xf>
    <xf numFmtId="38" fontId="28" fillId="0" borderId="13" xfId="508" applyNumberFormat="1" applyFont="1" applyFill="1" applyBorder="1" applyAlignment="1">
      <alignment horizontal="left" vertical="top" wrapText="1"/>
    </xf>
    <xf numFmtId="38" fontId="31" fillId="25" borderId="13" xfId="0" applyNumberFormat="1" applyFont="1" applyFill="1" applyBorder="1" applyAlignment="1">
      <alignment horizontal="left" vertical="center" wrapText="1"/>
    </xf>
    <xf numFmtId="38" fontId="31" fillId="25" borderId="14" xfId="0" applyNumberFormat="1" applyFont="1" applyFill="1" applyBorder="1" applyAlignment="1">
      <alignment horizontal="left" vertical="center" wrapText="1"/>
    </xf>
    <xf numFmtId="38" fontId="31" fillId="0" borderId="13" xfId="0" applyNumberFormat="1" applyFont="1" applyFill="1" applyBorder="1" applyAlignment="1">
      <alignment horizontal="left" vertical="center" wrapText="1"/>
    </xf>
    <xf numFmtId="38" fontId="31" fillId="0" borderId="14" xfId="0" applyNumberFormat="1" applyFont="1" applyFill="1" applyBorder="1" applyAlignment="1">
      <alignment horizontal="left" vertical="center" wrapText="1"/>
    </xf>
    <xf numFmtId="40" fontId="31" fillId="25" borderId="13" xfId="508" applyNumberFormat="1" applyFont="1" applyFill="1" applyBorder="1" applyAlignment="1">
      <alignment horizontal="left" vertical="center" wrapText="1"/>
    </xf>
    <xf numFmtId="40" fontId="31" fillId="25" borderId="14" xfId="508" applyNumberFormat="1" applyFont="1" applyFill="1" applyBorder="1" applyAlignment="1">
      <alignment horizontal="left" vertical="center" wrapText="1"/>
    </xf>
    <xf numFmtId="40" fontId="31" fillId="0" borderId="13" xfId="508" applyNumberFormat="1" applyFont="1" applyFill="1" applyBorder="1" applyAlignment="1">
      <alignment horizontal="left" vertical="center" wrapText="1"/>
    </xf>
    <xf numFmtId="40" fontId="31" fillId="0" borderId="14" xfId="508" applyNumberFormat="1" applyFont="1" applyFill="1" applyBorder="1" applyAlignment="1">
      <alignment horizontal="left" vertical="center" wrapText="1"/>
    </xf>
    <xf numFmtId="0" fontId="31" fillId="0" borderId="13" xfId="0" applyFont="1" applyBorder="1" applyAlignment="1">
      <alignment horizontal="left" vertical="center" wrapText="1"/>
    </xf>
    <xf numFmtId="0" fontId="31" fillId="0" borderId="14" xfId="0" applyFont="1" applyBorder="1" applyAlignment="1">
      <alignment horizontal="left" vertical="center" wrapText="1"/>
    </xf>
    <xf numFmtId="164" fontId="28" fillId="0" borderId="13" xfId="508" applyNumberFormat="1" applyFont="1" applyBorder="1" applyAlignment="1">
      <alignment horizontal="left" vertical="top" wrapText="1"/>
    </xf>
    <xf numFmtId="164" fontId="26" fillId="0" borderId="19" xfId="869" applyNumberFormat="1" applyFont="1" applyBorder="1" applyAlignment="1">
      <alignment horizontal="left" vertical="top" wrapText="1"/>
    </xf>
    <xf numFmtId="164" fontId="26" fillId="0" borderId="34" xfId="869" applyNumberFormat="1" applyFont="1" applyBorder="1" applyAlignment="1">
      <alignment horizontal="left" vertical="top" wrapText="1"/>
    </xf>
    <xf numFmtId="164" fontId="26" fillId="0" borderId="38" xfId="869" applyNumberFormat="1" applyFont="1" applyBorder="1" applyAlignment="1">
      <alignment horizontal="left" vertical="top" wrapText="1"/>
    </xf>
    <xf numFmtId="0" fontId="27" fillId="29" borderId="14" xfId="669" applyFont="1" applyFill="1" applyBorder="1" applyAlignment="1">
      <alignment horizontal="center" vertical="center"/>
    </xf>
    <xf numFmtId="164" fontId="26" fillId="0" borderId="14" xfId="869" applyNumberFormat="1" applyFont="1" applyBorder="1" applyAlignment="1">
      <alignment horizontal="left" vertical="top" wrapText="1"/>
    </xf>
    <xf numFmtId="0" fontId="26" fillId="0" borderId="14" xfId="869" applyFont="1" applyBorder="1" applyAlignment="1">
      <alignment horizontal="left" vertical="top" wrapText="1"/>
    </xf>
    <xf numFmtId="0" fontId="26" fillId="0" borderId="14" xfId="669" applyFont="1" applyBorder="1" applyAlignment="1">
      <alignment horizontal="left" vertical="center" wrapText="1"/>
    </xf>
    <xf numFmtId="38" fontId="26" fillId="0" borderId="14" xfId="669" applyNumberFormat="1" applyFont="1" applyBorder="1" applyAlignment="1">
      <alignment horizontal="left" vertical="center" wrapText="1"/>
    </xf>
    <xf numFmtId="40" fontId="26" fillId="0" borderId="14" xfId="869" applyNumberFormat="1" applyFont="1" applyBorder="1" applyAlignment="1">
      <alignment horizontal="left" vertical="center" wrapText="1"/>
    </xf>
  </cellXfs>
  <cellStyles count="873">
    <cellStyle name="20% - Accent1 10" xfId="1"/>
    <cellStyle name="20% - Accent1 10 2" xfId="2"/>
    <cellStyle name="20% - Accent1 11" xfId="3"/>
    <cellStyle name="20% - Accent1 11 2" xfId="4"/>
    <cellStyle name="20% - Accent1 12" xfId="5"/>
    <cellStyle name="20% - Accent1 12 2" xfId="6"/>
    <cellStyle name="20% - Accent1 13" xfId="7"/>
    <cellStyle name="20% - Accent1 13 2" xfId="8"/>
    <cellStyle name="20% - Accent1 2" xfId="9"/>
    <cellStyle name="20% - Accent1 2 2" xfId="10"/>
    <cellStyle name="20% - Accent1 2 2 2" xfId="11"/>
    <cellStyle name="20% - Accent1 2 3" xfId="12"/>
    <cellStyle name="20% - Accent1 3" xfId="13"/>
    <cellStyle name="20% - Accent1 3 2" xfId="14"/>
    <cellStyle name="20% - Accent1 4" xfId="15"/>
    <cellStyle name="20% - Accent1 4 2" xfId="16"/>
    <cellStyle name="20% - Accent1 5" xfId="17"/>
    <cellStyle name="20% - Accent1 5 2" xfId="18"/>
    <cellStyle name="20% - Accent1 6" xfId="19"/>
    <cellStyle name="20% - Accent1 6 2" xfId="20"/>
    <cellStyle name="20% - Accent1 7" xfId="21"/>
    <cellStyle name="20% - Accent1 7 2" xfId="22"/>
    <cellStyle name="20% - Accent1 8" xfId="23"/>
    <cellStyle name="20% - Accent1 8 2" xfId="24"/>
    <cellStyle name="20% - Accent1 9" xfId="25"/>
    <cellStyle name="20% - Accent1 9 2" xfId="26"/>
    <cellStyle name="20% - Accent2 10" xfId="27"/>
    <cellStyle name="20% - Accent2 10 2" xfId="28"/>
    <cellStyle name="20% - Accent2 11" xfId="29"/>
    <cellStyle name="20% - Accent2 11 2" xfId="30"/>
    <cellStyle name="20% - Accent2 12" xfId="31"/>
    <cellStyle name="20% - Accent2 12 2" xfId="32"/>
    <cellStyle name="20% - Accent2 13" xfId="33"/>
    <cellStyle name="20% - Accent2 13 2" xfId="34"/>
    <cellStyle name="20% - Accent2 2" xfId="35"/>
    <cellStyle name="20% - Accent2 2 2" xfId="36"/>
    <cellStyle name="20% - Accent2 2 2 2" xfId="37"/>
    <cellStyle name="20% - Accent2 2 3" xfId="38"/>
    <cellStyle name="20% - Accent2 3" xfId="39"/>
    <cellStyle name="20% - Accent2 3 2" xfId="40"/>
    <cellStyle name="20% - Accent2 4" xfId="41"/>
    <cellStyle name="20% - Accent2 4 2" xfId="42"/>
    <cellStyle name="20% - Accent2 5" xfId="43"/>
    <cellStyle name="20% - Accent2 5 2" xfId="44"/>
    <cellStyle name="20% - Accent2 6" xfId="45"/>
    <cellStyle name="20% - Accent2 6 2" xfId="46"/>
    <cellStyle name="20% - Accent2 7" xfId="47"/>
    <cellStyle name="20% - Accent2 7 2" xfId="48"/>
    <cellStyle name="20% - Accent2 8" xfId="49"/>
    <cellStyle name="20% - Accent2 8 2" xfId="50"/>
    <cellStyle name="20% - Accent2 9" xfId="51"/>
    <cellStyle name="20% - Accent2 9 2" xfId="52"/>
    <cellStyle name="20% - Accent3 10" xfId="53"/>
    <cellStyle name="20% - Accent3 10 2" xfId="54"/>
    <cellStyle name="20% - Accent3 11" xfId="55"/>
    <cellStyle name="20% - Accent3 11 2" xfId="56"/>
    <cellStyle name="20% - Accent3 12" xfId="57"/>
    <cellStyle name="20% - Accent3 12 2" xfId="58"/>
    <cellStyle name="20% - Accent3 13" xfId="59"/>
    <cellStyle name="20% - Accent3 13 2" xfId="60"/>
    <cellStyle name="20% - Accent3 2" xfId="61"/>
    <cellStyle name="20% - Accent3 2 2" xfId="62"/>
    <cellStyle name="20% - Accent3 2 2 2" xfId="63"/>
    <cellStyle name="20% - Accent3 2 3" xfId="64"/>
    <cellStyle name="20% - Accent3 3" xfId="65"/>
    <cellStyle name="20% - Accent3 3 2" xfId="66"/>
    <cellStyle name="20% - Accent3 4" xfId="67"/>
    <cellStyle name="20% - Accent3 4 2" xfId="68"/>
    <cellStyle name="20% - Accent3 5" xfId="69"/>
    <cellStyle name="20% - Accent3 5 2" xfId="70"/>
    <cellStyle name="20% - Accent3 6" xfId="71"/>
    <cellStyle name="20% - Accent3 6 2" xfId="72"/>
    <cellStyle name="20% - Accent3 7" xfId="73"/>
    <cellStyle name="20% - Accent3 7 2" xfId="74"/>
    <cellStyle name="20% - Accent3 8" xfId="75"/>
    <cellStyle name="20% - Accent3 8 2" xfId="76"/>
    <cellStyle name="20% - Accent3 9" xfId="77"/>
    <cellStyle name="20% - Accent3 9 2" xfId="78"/>
    <cellStyle name="20% - Accent4 10" xfId="79"/>
    <cellStyle name="20% - Accent4 10 2" xfId="80"/>
    <cellStyle name="20% - Accent4 11" xfId="81"/>
    <cellStyle name="20% - Accent4 11 2" xfId="82"/>
    <cellStyle name="20% - Accent4 12" xfId="83"/>
    <cellStyle name="20% - Accent4 12 2" xfId="84"/>
    <cellStyle name="20% - Accent4 13" xfId="85"/>
    <cellStyle name="20% - Accent4 13 2" xfId="86"/>
    <cellStyle name="20% - Accent4 2" xfId="87"/>
    <cellStyle name="20% - Accent4 2 2" xfId="88"/>
    <cellStyle name="20% - Accent4 2 2 2" xfId="89"/>
    <cellStyle name="20% - Accent4 2 3" xfId="90"/>
    <cellStyle name="20% - Accent4 3" xfId="91"/>
    <cellStyle name="20% - Accent4 3 2" xfId="92"/>
    <cellStyle name="20% - Accent4 4" xfId="93"/>
    <cellStyle name="20% - Accent4 4 2" xfId="94"/>
    <cellStyle name="20% - Accent4 5" xfId="95"/>
    <cellStyle name="20% - Accent4 5 2" xfId="96"/>
    <cellStyle name="20% - Accent4 6" xfId="97"/>
    <cellStyle name="20% - Accent4 6 2" xfId="98"/>
    <cellStyle name="20% - Accent4 7" xfId="99"/>
    <cellStyle name="20% - Accent4 7 2" xfId="100"/>
    <cellStyle name="20% - Accent4 8" xfId="101"/>
    <cellStyle name="20% - Accent4 8 2" xfId="102"/>
    <cellStyle name="20% - Accent4 9" xfId="103"/>
    <cellStyle name="20% - Accent4 9 2" xfId="104"/>
    <cellStyle name="20% - Accent5 10" xfId="105"/>
    <cellStyle name="20% - Accent5 10 2" xfId="106"/>
    <cellStyle name="20% - Accent5 11" xfId="107"/>
    <cellStyle name="20% - Accent5 11 2" xfId="108"/>
    <cellStyle name="20% - Accent5 12" xfId="109"/>
    <cellStyle name="20% - Accent5 12 2" xfId="110"/>
    <cellStyle name="20% - Accent5 13" xfId="111"/>
    <cellStyle name="20% - Accent5 13 2" xfId="112"/>
    <cellStyle name="20% - Accent5 2" xfId="113"/>
    <cellStyle name="20% - Accent5 2 2" xfId="114"/>
    <cellStyle name="20% - Accent5 2 2 2" xfId="115"/>
    <cellStyle name="20% - Accent5 2 3" xfId="116"/>
    <cellStyle name="20% - Accent5 3" xfId="117"/>
    <cellStyle name="20% - Accent5 3 2" xfId="118"/>
    <cellStyle name="20% - Accent5 4" xfId="119"/>
    <cellStyle name="20% - Accent5 4 2" xfId="120"/>
    <cellStyle name="20% - Accent5 5" xfId="121"/>
    <cellStyle name="20% - Accent5 5 2" xfId="122"/>
    <cellStyle name="20% - Accent5 6" xfId="123"/>
    <cellStyle name="20% - Accent5 6 2" xfId="124"/>
    <cellStyle name="20% - Accent5 7" xfId="125"/>
    <cellStyle name="20% - Accent5 7 2" xfId="126"/>
    <cellStyle name="20% - Accent5 8" xfId="127"/>
    <cellStyle name="20% - Accent5 8 2" xfId="128"/>
    <cellStyle name="20% - Accent5 9" xfId="129"/>
    <cellStyle name="20% - Accent5 9 2" xfId="130"/>
    <cellStyle name="20% - Accent6 10" xfId="131"/>
    <cellStyle name="20% - Accent6 10 2" xfId="132"/>
    <cellStyle name="20% - Accent6 11" xfId="133"/>
    <cellStyle name="20% - Accent6 11 2" xfId="134"/>
    <cellStyle name="20% - Accent6 12" xfId="135"/>
    <cellStyle name="20% - Accent6 12 2" xfId="136"/>
    <cellStyle name="20% - Accent6 13" xfId="137"/>
    <cellStyle name="20% - Accent6 13 2" xfId="138"/>
    <cellStyle name="20% - Accent6 2" xfId="139"/>
    <cellStyle name="20% - Accent6 2 2" xfId="140"/>
    <cellStyle name="20% - Accent6 2 2 2" xfId="141"/>
    <cellStyle name="20% - Accent6 2 3" xfId="142"/>
    <cellStyle name="20% - Accent6 3" xfId="143"/>
    <cellStyle name="20% - Accent6 3 2" xfId="144"/>
    <cellStyle name="20% - Accent6 4" xfId="145"/>
    <cellStyle name="20% - Accent6 4 2" xfId="146"/>
    <cellStyle name="20% - Accent6 5" xfId="147"/>
    <cellStyle name="20% - Accent6 5 2" xfId="148"/>
    <cellStyle name="20% - Accent6 6" xfId="149"/>
    <cellStyle name="20% - Accent6 6 2" xfId="150"/>
    <cellStyle name="20% - Accent6 7" xfId="151"/>
    <cellStyle name="20% - Accent6 7 2" xfId="152"/>
    <cellStyle name="20% - Accent6 8" xfId="153"/>
    <cellStyle name="20% - Accent6 8 2" xfId="154"/>
    <cellStyle name="20% - Accent6 9" xfId="155"/>
    <cellStyle name="20% - Accent6 9 2" xfId="156"/>
    <cellStyle name="40% - Accent1 10" xfId="157"/>
    <cellStyle name="40% - Accent1 10 2" xfId="158"/>
    <cellStyle name="40% - Accent1 11" xfId="159"/>
    <cellStyle name="40% - Accent1 11 2" xfId="160"/>
    <cellStyle name="40% - Accent1 12" xfId="161"/>
    <cellStyle name="40% - Accent1 12 2" xfId="162"/>
    <cellStyle name="40% - Accent1 13" xfId="163"/>
    <cellStyle name="40% - Accent1 13 2" xfId="164"/>
    <cellStyle name="40% - Accent1 2" xfId="165"/>
    <cellStyle name="40% - Accent1 2 2" xfId="166"/>
    <cellStyle name="40% - Accent1 2 2 2" xfId="167"/>
    <cellStyle name="40% - Accent1 2 3" xfId="168"/>
    <cellStyle name="40% - Accent1 3" xfId="169"/>
    <cellStyle name="40% - Accent1 3 2" xfId="170"/>
    <cellStyle name="40% - Accent1 4" xfId="171"/>
    <cellStyle name="40% - Accent1 4 2" xfId="172"/>
    <cellStyle name="40% - Accent1 5" xfId="173"/>
    <cellStyle name="40% - Accent1 5 2" xfId="174"/>
    <cellStyle name="40% - Accent1 6" xfId="175"/>
    <cellStyle name="40% - Accent1 6 2" xfId="176"/>
    <cellStyle name="40% - Accent1 7" xfId="177"/>
    <cellStyle name="40% - Accent1 7 2" xfId="178"/>
    <cellStyle name="40% - Accent1 8" xfId="179"/>
    <cellStyle name="40% - Accent1 8 2" xfId="180"/>
    <cellStyle name="40% - Accent1 9" xfId="181"/>
    <cellStyle name="40% - Accent1 9 2" xfId="182"/>
    <cellStyle name="40% - Accent2 10" xfId="183"/>
    <cellStyle name="40% - Accent2 10 2" xfId="184"/>
    <cellStyle name="40% - Accent2 11" xfId="185"/>
    <cellStyle name="40% - Accent2 11 2" xfId="186"/>
    <cellStyle name="40% - Accent2 12" xfId="187"/>
    <cellStyle name="40% - Accent2 12 2" xfId="188"/>
    <cellStyle name="40% - Accent2 13" xfId="189"/>
    <cellStyle name="40% - Accent2 13 2" xfId="190"/>
    <cellStyle name="40% - Accent2 2" xfId="191"/>
    <cellStyle name="40% - Accent2 2 2" xfId="192"/>
    <cellStyle name="40% - Accent2 2 2 2" xfId="193"/>
    <cellStyle name="40% - Accent2 2 3" xfId="194"/>
    <cellStyle name="40% - Accent2 3" xfId="195"/>
    <cellStyle name="40% - Accent2 3 2" xfId="196"/>
    <cellStyle name="40% - Accent2 4" xfId="197"/>
    <cellStyle name="40% - Accent2 4 2" xfId="198"/>
    <cellStyle name="40% - Accent2 5" xfId="199"/>
    <cellStyle name="40% - Accent2 5 2" xfId="200"/>
    <cellStyle name="40% - Accent2 6" xfId="201"/>
    <cellStyle name="40% - Accent2 6 2" xfId="202"/>
    <cellStyle name="40% - Accent2 7" xfId="203"/>
    <cellStyle name="40% - Accent2 7 2" xfId="204"/>
    <cellStyle name="40% - Accent2 8" xfId="205"/>
    <cellStyle name="40% - Accent2 8 2" xfId="206"/>
    <cellStyle name="40% - Accent2 9" xfId="207"/>
    <cellStyle name="40% - Accent2 9 2" xfId="208"/>
    <cellStyle name="40% - Accent3 10" xfId="209"/>
    <cellStyle name="40% - Accent3 10 2" xfId="210"/>
    <cellStyle name="40% - Accent3 11" xfId="211"/>
    <cellStyle name="40% - Accent3 11 2" xfId="212"/>
    <cellStyle name="40% - Accent3 12" xfId="213"/>
    <cellStyle name="40% - Accent3 12 2" xfId="214"/>
    <cellStyle name="40% - Accent3 13" xfId="215"/>
    <cellStyle name="40% - Accent3 13 2" xfId="216"/>
    <cellStyle name="40% - Accent3 2" xfId="217"/>
    <cellStyle name="40% - Accent3 2 2" xfId="218"/>
    <cellStyle name="40% - Accent3 2 2 2" xfId="219"/>
    <cellStyle name="40% - Accent3 2 3" xfId="220"/>
    <cellStyle name="40% - Accent3 3" xfId="221"/>
    <cellStyle name="40% - Accent3 3 2" xfId="222"/>
    <cellStyle name="40% - Accent3 4" xfId="223"/>
    <cellStyle name="40% - Accent3 4 2" xfId="224"/>
    <cellStyle name="40% - Accent3 5" xfId="225"/>
    <cellStyle name="40% - Accent3 5 2" xfId="226"/>
    <cellStyle name="40% - Accent3 6" xfId="227"/>
    <cellStyle name="40% - Accent3 6 2" xfId="228"/>
    <cellStyle name="40% - Accent3 7" xfId="229"/>
    <cellStyle name="40% - Accent3 7 2" xfId="230"/>
    <cellStyle name="40% - Accent3 8" xfId="231"/>
    <cellStyle name="40% - Accent3 8 2" xfId="232"/>
    <cellStyle name="40% - Accent3 9" xfId="233"/>
    <cellStyle name="40% - Accent3 9 2" xfId="234"/>
    <cellStyle name="40% - Accent4 10" xfId="235"/>
    <cellStyle name="40% - Accent4 10 2" xfId="236"/>
    <cellStyle name="40% - Accent4 11" xfId="237"/>
    <cellStyle name="40% - Accent4 11 2" xfId="238"/>
    <cellStyle name="40% - Accent4 12" xfId="239"/>
    <cellStyle name="40% - Accent4 12 2" xfId="240"/>
    <cellStyle name="40% - Accent4 13" xfId="241"/>
    <cellStyle name="40% - Accent4 13 2" xfId="242"/>
    <cellStyle name="40% - Accent4 2" xfId="243"/>
    <cellStyle name="40% - Accent4 2 2" xfId="244"/>
    <cellStyle name="40% - Accent4 2 2 2" xfId="245"/>
    <cellStyle name="40% - Accent4 2 3" xfId="246"/>
    <cellStyle name="40% - Accent4 3" xfId="247"/>
    <cellStyle name="40% - Accent4 3 2" xfId="248"/>
    <cellStyle name="40% - Accent4 4" xfId="249"/>
    <cellStyle name="40% - Accent4 4 2" xfId="250"/>
    <cellStyle name="40% - Accent4 5" xfId="251"/>
    <cellStyle name="40% - Accent4 5 2" xfId="252"/>
    <cellStyle name="40% - Accent4 6" xfId="253"/>
    <cellStyle name="40% - Accent4 6 2" xfId="254"/>
    <cellStyle name="40% - Accent4 7" xfId="255"/>
    <cellStyle name="40% - Accent4 7 2" xfId="256"/>
    <cellStyle name="40% - Accent4 8" xfId="257"/>
    <cellStyle name="40% - Accent4 8 2" xfId="258"/>
    <cellStyle name="40% - Accent4 9" xfId="259"/>
    <cellStyle name="40% - Accent4 9 2" xfId="260"/>
    <cellStyle name="40% - Accent5 10" xfId="261"/>
    <cellStyle name="40% - Accent5 10 2" xfId="262"/>
    <cellStyle name="40% - Accent5 11" xfId="263"/>
    <cellStyle name="40% - Accent5 11 2" xfId="264"/>
    <cellStyle name="40% - Accent5 12" xfId="265"/>
    <cellStyle name="40% - Accent5 12 2" xfId="266"/>
    <cellStyle name="40% - Accent5 13" xfId="267"/>
    <cellStyle name="40% - Accent5 13 2" xfId="268"/>
    <cellStyle name="40% - Accent5 2" xfId="269"/>
    <cellStyle name="40% - Accent5 2 2" xfId="270"/>
    <cellStyle name="40% - Accent5 2 2 2" xfId="271"/>
    <cellStyle name="40% - Accent5 2 3" xfId="272"/>
    <cellStyle name="40% - Accent5 3" xfId="273"/>
    <cellStyle name="40% - Accent5 3 2" xfId="274"/>
    <cellStyle name="40% - Accent5 4" xfId="275"/>
    <cellStyle name="40% - Accent5 4 2" xfId="276"/>
    <cellStyle name="40% - Accent5 5" xfId="277"/>
    <cellStyle name="40% - Accent5 5 2" xfId="278"/>
    <cellStyle name="40% - Accent5 6" xfId="279"/>
    <cellStyle name="40% - Accent5 6 2" xfId="280"/>
    <cellStyle name="40% - Accent5 7" xfId="281"/>
    <cellStyle name="40% - Accent5 7 2" xfId="282"/>
    <cellStyle name="40% - Accent5 8" xfId="283"/>
    <cellStyle name="40% - Accent5 8 2" xfId="284"/>
    <cellStyle name="40% - Accent5 9" xfId="285"/>
    <cellStyle name="40% - Accent5 9 2" xfId="286"/>
    <cellStyle name="40% - Accent6 10" xfId="287"/>
    <cellStyle name="40% - Accent6 10 2" xfId="288"/>
    <cellStyle name="40% - Accent6 11" xfId="289"/>
    <cellStyle name="40% - Accent6 11 2" xfId="290"/>
    <cellStyle name="40% - Accent6 12" xfId="291"/>
    <cellStyle name="40% - Accent6 12 2" xfId="292"/>
    <cellStyle name="40% - Accent6 13" xfId="293"/>
    <cellStyle name="40% - Accent6 13 2" xfId="294"/>
    <cellStyle name="40% - Accent6 2" xfId="295"/>
    <cellStyle name="40% - Accent6 2 2" xfId="296"/>
    <cellStyle name="40% - Accent6 2 2 2" xfId="297"/>
    <cellStyle name="40% - Accent6 2 3" xfId="298"/>
    <cellStyle name="40% - Accent6 3" xfId="299"/>
    <cellStyle name="40% - Accent6 3 2" xfId="300"/>
    <cellStyle name="40% - Accent6 4" xfId="301"/>
    <cellStyle name="40% - Accent6 4 2" xfId="302"/>
    <cellStyle name="40% - Accent6 5" xfId="303"/>
    <cellStyle name="40% - Accent6 5 2" xfId="304"/>
    <cellStyle name="40% - Accent6 6" xfId="305"/>
    <cellStyle name="40% - Accent6 6 2" xfId="306"/>
    <cellStyle name="40% - Accent6 7" xfId="307"/>
    <cellStyle name="40% - Accent6 7 2" xfId="308"/>
    <cellStyle name="40% - Accent6 8" xfId="309"/>
    <cellStyle name="40% - Accent6 8 2" xfId="310"/>
    <cellStyle name="40% - Accent6 9" xfId="311"/>
    <cellStyle name="40% - Accent6 9 2" xfId="312"/>
    <cellStyle name="60% - Accent1 10" xfId="313"/>
    <cellStyle name="60% - Accent1 11" xfId="314"/>
    <cellStyle name="60% - Accent1 12" xfId="315"/>
    <cellStyle name="60% - Accent1 13" xfId="316"/>
    <cellStyle name="60% - Accent1 2" xfId="317"/>
    <cellStyle name="60% - Accent1 2 2" xfId="318"/>
    <cellStyle name="60% - Accent1 3" xfId="319"/>
    <cellStyle name="60% - Accent1 4" xfId="320"/>
    <cellStyle name="60% - Accent1 5" xfId="321"/>
    <cellStyle name="60% - Accent1 6" xfId="322"/>
    <cellStyle name="60% - Accent1 7" xfId="323"/>
    <cellStyle name="60% - Accent1 8" xfId="324"/>
    <cellStyle name="60% - Accent1 9" xfId="325"/>
    <cellStyle name="60% - Accent2 10" xfId="326"/>
    <cellStyle name="60% - Accent2 11" xfId="327"/>
    <cellStyle name="60% - Accent2 12" xfId="328"/>
    <cellStyle name="60% - Accent2 13" xfId="329"/>
    <cellStyle name="60% - Accent2 2" xfId="330"/>
    <cellStyle name="60% - Accent2 2 2" xfId="331"/>
    <cellStyle name="60% - Accent2 3" xfId="332"/>
    <cellStyle name="60% - Accent2 4" xfId="333"/>
    <cellStyle name="60% - Accent2 5" xfId="334"/>
    <cellStyle name="60% - Accent2 6" xfId="335"/>
    <cellStyle name="60% - Accent2 7" xfId="336"/>
    <cellStyle name="60% - Accent2 8" xfId="337"/>
    <cellStyle name="60% - Accent2 9" xfId="338"/>
    <cellStyle name="60% - Accent3 10" xfId="339"/>
    <cellStyle name="60% - Accent3 11" xfId="340"/>
    <cellStyle name="60% - Accent3 12" xfId="341"/>
    <cellStyle name="60% - Accent3 13" xfId="342"/>
    <cellStyle name="60% - Accent3 2" xfId="343"/>
    <cellStyle name="60% - Accent3 2 2" xfId="344"/>
    <cellStyle name="60% - Accent3 3" xfId="345"/>
    <cellStyle name="60% - Accent3 4" xfId="346"/>
    <cellStyle name="60% - Accent3 5" xfId="347"/>
    <cellStyle name="60% - Accent3 6" xfId="348"/>
    <cellStyle name="60% - Accent3 7" xfId="349"/>
    <cellStyle name="60% - Accent3 8" xfId="350"/>
    <cellStyle name="60% - Accent3 9" xfId="351"/>
    <cellStyle name="60% - Accent4 10" xfId="352"/>
    <cellStyle name="60% - Accent4 11" xfId="353"/>
    <cellStyle name="60% - Accent4 12" xfId="354"/>
    <cellStyle name="60% - Accent4 13" xfId="355"/>
    <cellStyle name="60% - Accent4 2" xfId="356"/>
    <cellStyle name="60% - Accent4 2 2" xfId="357"/>
    <cellStyle name="60% - Accent4 3" xfId="358"/>
    <cellStyle name="60% - Accent4 4" xfId="359"/>
    <cellStyle name="60% - Accent4 5" xfId="360"/>
    <cellStyle name="60% - Accent4 6" xfId="361"/>
    <cellStyle name="60% - Accent4 7" xfId="362"/>
    <cellStyle name="60% - Accent4 8" xfId="363"/>
    <cellStyle name="60% - Accent4 9" xfId="364"/>
    <cellStyle name="60% - Accent5 10" xfId="365"/>
    <cellStyle name="60% - Accent5 11" xfId="366"/>
    <cellStyle name="60% - Accent5 12" xfId="367"/>
    <cellStyle name="60% - Accent5 13" xfId="368"/>
    <cellStyle name="60% - Accent5 2" xfId="369"/>
    <cellStyle name="60% - Accent5 2 2" xfId="370"/>
    <cellStyle name="60% - Accent5 3" xfId="371"/>
    <cellStyle name="60% - Accent5 4" xfId="372"/>
    <cellStyle name="60% - Accent5 5" xfId="373"/>
    <cellStyle name="60% - Accent5 6" xfId="374"/>
    <cellStyle name="60% - Accent5 7" xfId="375"/>
    <cellStyle name="60% - Accent5 8" xfId="376"/>
    <cellStyle name="60% - Accent5 9" xfId="377"/>
    <cellStyle name="60% - Accent6 10" xfId="378"/>
    <cellStyle name="60% - Accent6 11" xfId="379"/>
    <cellStyle name="60% - Accent6 12" xfId="380"/>
    <cellStyle name="60% - Accent6 13" xfId="381"/>
    <cellStyle name="60% - Accent6 2" xfId="382"/>
    <cellStyle name="60% - Accent6 2 2" xfId="383"/>
    <cellStyle name="60% - Accent6 3" xfId="384"/>
    <cellStyle name="60% - Accent6 4" xfId="385"/>
    <cellStyle name="60% - Accent6 5" xfId="386"/>
    <cellStyle name="60% - Accent6 6" xfId="387"/>
    <cellStyle name="60% - Accent6 7" xfId="388"/>
    <cellStyle name="60% - Accent6 8" xfId="389"/>
    <cellStyle name="60% - Accent6 9" xfId="390"/>
    <cellStyle name="Accent1 10" xfId="391"/>
    <cellStyle name="Accent1 11" xfId="392"/>
    <cellStyle name="Accent1 12" xfId="393"/>
    <cellStyle name="Accent1 13" xfId="394"/>
    <cellStyle name="Accent1 2" xfId="395"/>
    <cellStyle name="Accent1 2 2" xfId="396"/>
    <cellStyle name="Accent1 3" xfId="397"/>
    <cellStyle name="Accent1 4" xfId="398"/>
    <cellStyle name="Accent1 5" xfId="399"/>
    <cellStyle name="Accent1 6" xfId="400"/>
    <cellStyle name="Accent1 7" xfId="401"/>
    <cellStyle name="Accent1 8" xfId="402"/>
    <cellStyle name="Accent1 9" xfId="403"/>
    <cellStyle name="Accent2 10" xfId="404"/>
    <cellStyle name="Accent2 11" xfId="405"/>
    <cellStyle name="Accent2 12" xfId="406"/>
    <cellStyle name="Accent2 13" xfId="407"/>
    <cellStyle name="Accent2 2" xfId="408"/>
    <cellStyle name="Accent2 2 2" xfId="409"/>
    <cellStyle name="Accent2 3" xfId="410"/>
    <cellStyle name="Accent2 4" xfId="411"/>
    <cellStyle name="Accent2 5" xfId="412"/>
    <cellStyle name="Accent2 6" xfId="413"/>
    <cellStyle name="Accent2 7" xfId="414"/>
    <cellStyle name="Accent2 8" xfId="415"/>
    <cellStyle name="Accent2 9" xfId="416"/>
    <cellStyle name="Accent3 10" xfId="417"/>
    <cellStyle name="Accent3 11" xfId="418"/>
    <cellStyle name="Accent3 12" xfId="419"/>
    <cellStyle name="Accent3 13" xfId="420"/>
    <cellStyle name="Accent3 2" xfId="421"/>
    <cellStyle name="Accent3 2 2" xfId="422"/>
    <cellStyle name="Accent3 3" xfId="423"/>
    <cellStyle name="Accent3 4" xfId="424"/>
    <cellStyle name="Accent3 5" xfId="425"/>
    <cellStyle name="Accent3 6" xfId="426"/>
    <cellStyle name="Accent3 7" xfId="427"/>
    <cellStyle name="Accent3 8" xfId="428"/>
    <cellStyle name="Accent3 9" xfId="429"/>
    <cellStyle name="Accent4 10" xfId="430"/>
    <cellStyle name="Accent4 11" xfId="431"/>
    <cellStyle name="Accent4 12" xfId="432"/>
    <cellStyle name="Accent4 13" xfId="433"/>
    <cellStyle name="Accent4 2" xfId="434"/>
    <cellStyle name="Accent4 2 2" xfId="435"/>
    <cellStyle name="Accent4 3" xfId="436"/>
    <cellStyle name="Accent4 4" xfId="437"/>
    <cellStyle name="Accent4 5" xfId="438"/>
    <cellStyle name="Accent4 6" xfId="439"/>
    <cellStyle name="Accent4 7" xfId="440"/>
    <cellStyle name="Accent4 8" xfId="441"/>
    <cellStyle name="Accent4 9" xfId="442"/>
    <cellStyle name="Accent5 10" xfId="443"/>
    <cellStyle name="Accent5 11" xfId="444"/>
    <cellStyle name="Accent5 12" xfId="445"/>
    <cellStyle name="Accent5 13" xfId="446"/>
    <cellStyle name="Accent5 2" xfId="447"/>
    <cellStyle name="Accent5 2 2" xfId="448"/>
    <cellStyle name="Accent5 3" xfId="449"/>
    <cellStyle name="Accent5 4" xfId="450"/>
    <cellStyle name="Accent5 5" xfId="451"/>
    <cellStyle name="Accent5 6" xfId="452"/>
    <cellStyle name="Accent5 7" xfId="453"/>
    <cellStyle name="Accent5 8" xfId="454"/>
    <cellStyle name="Accent5 9" xfId="455"/>
    <cellStyle name="Accent6 10" xfId="456"/>
    <cellStyle name="Accent6 11" xfId="457"/>
    <cellStyle name="Accent6 12" xfId="458"/>
    <cellStyle name="Accent6 13" xfId="459"/>
    <cellStyle name="Accent6 2" xfId="460"/>
    <cellStyle name="Accent6 2 2" xfId="461"/>
    <cellStyle name="Accent6 3" xfId="462"/>
    <cellStyle name="Accent6 4" xfId="463"/>
    <cellStyle name="Accent6 5" xfId="464"/>
    <cellStyle name="Accent6 6" xfId="465"/>
    <cellStyle name="Accent6 7" xfId="466"/>
    <cellStyle name="Accent6 8" xfId="467"/>
    <cellStyle name="Accent6 9" xfId="468"/>
    <cellStyle name="Bad 10" xfId="469"/>
    <cellStyle name="Bad 11" xfId="470"/>
    <cellStyle name="Bad 12" xfId="471"/>
    <cellStyle name="Bad 13" xfId="472"/>
    <cellStyle name="Bad 2" xfId="473"/>
    <cellStyle name="Bad 2 2" xfId="474"/>
    <cellStyle name="Bad 3" xfId="475"/>
    <cellStyle name="Bad 4" xfId="476"/>
    <cellStyle name="Bad 5" xfId="477"/>
    <cellStyle name="Bad 6" xfId="478"/>
    <cellStyle name="Bad 7" xfId="479"/>
    <cellStyle name="Bad 8" xfId="480"/>
    <cellStyle name="Bad 9" xfId="481"/>
    <cellStyle name="Calculation 10" xfId="482"/>
    <cellStyle name="Calculation 11" xfId="483"/>
    <cellStyle name="Calculation 12" xfId="484"/>
    <cellStyle name="Calculation 13" xfId="485"/>
    <cellStyle name="Calculation 2" xfId="486"/>
    <cellStyle name="Calculation 2 2" xfId="487"/>
    <cellStyle name="Calculation 3" xfId="488"/>
    <cellStyle name="Calculation 4" xfId="489"/>
    <cellStyle name="Calculation 5" xfId="490"/>
    <cellStyle name="Calculation 6" xfId="491"/>
    <cellStyle name="Calculation 7" xfId="492"/>
    <cellStyle name="Calculation 8" xfId="493"/>
    <cellStyle name="Calculation 9" xfId="494"/>
    <cellStyle name="Check Cell 10" xfId="495"/>
    <cellStyle name="Check Cell 11" xfId="496"/>
    <cellStyle name="Check Cell 12" xfId="497"/>
    <cellStyle name="Check Cell 13" xfId="498"/>
    <cellStyle name="Check Cell 2" xfId="499"/>
    <cellStyle name="Check Cell 2 2" xfId="500"/>
    <cellStyle name="Check Cell 3" xfId="501"/>
    <cellStyle name="Check Cell 4" xfId="502"/>
    <cellStyle name="Check Cell 5" xfId="503"/>
    <cellStyle name="Check Cell 6" xfId="504"/>
    <cellStyle name="Check Cell 7" xfId="505"/>
    <cellStyle name="Check Cell 8" xfId="506"/>
    <cellStyle name="Check Cell 9" xfId="507"/>
    <cellStyle name="Comma" xfId="508" builtinId="3"/>
    <cellStyle name="Comma 10" xfId="509"/>
    <cellStyle name="Comma 10 2" xfId="510"/>
    <cellStyle name="Comma 11" xfId="511"/>
    <cellStyle name="Comma 12" xfId="512"/>
    <cellStyle name="Comma 13" xfId="513"/>
    <cellStyle name="Comma 14" xfId="870"/>
    <cellStyle name="Comma 15" xfId="871"/>
    <cellStyle name="Comma 16" xfId="872"/>
    <cellStyle name="Comma 2" xfId="514"/>
    <cellStyle name="Comma 2 2" xfId="515"/>
    <cellStyle name="Comma 2 2 2" xfId="516"/>
    <cellStyle name="Comma 2 2 2 2" xfId="517"/>
    <cellStyle name="Comma 2 2 2 3" xfId="518"/>
    <cellStyle name="Comma 2 2 2 4" xfId="519"/>
    <cellStyle name="Comma 2 2 2 5" xfId="520"/>
    <cellStyle name="Comma 2 2 3" xfId="521"/>
    <cellStyle name="Comma 2 2 3 2" xfId="522"/>
    <cellStyle name="Comma 2 2 4" xfId="523"/>
    <cellStyle name="Comma 2 2 4 2" xfId="524"/>
    <cellStyle name="Comma 2 3" xfId="525"/>
    <cellStyle name="Comma 2 4" xfId="526"/>
    <cellStyle name="Comma 2 5" xfId="527"/>
    <cellStyle name="Comma 2 6" xfId="528"/>
    <cellStyle name="Comma 2 6 2" xfId="529"/>
    <cellStyle name="Comma 2 6 2 2" xfId="530"/>
    <cellStyle name="Comma 2 6 2 2 2" xfId="531"/>
    <cellStyle name="Comma 2 6 2 3" xfId="532"/>
    <cellStyle name="Comma 2 6 3" xfId="533"/>
    <cellStyle name="Comma 2 6 3 2" xfId="534"/>
    <cellStyle name="Comma 2 6 4" xfId="535"/>
    <cellStyle name="Comma 2 7" xfId="536"/>
    <cellStyle name="Comma 2 7 2" xfId="537"/>
    <cellStyle name="Comma 2 7 2 2" xfId="538"/>
    <cellStyle name="Comma 2 7 3" xfId="539"/>
    <cellStyle name="Comma 2 8" xfId="540"/>
    <cellStyle name="Comma 2 9" xfId="869"/>
    <cellStyle name="Comma 3" xfId="541"/>
    <cellStyle name="Comma 3 2" xfId="542"/>
    <cellStyle name="Comma 4" xfId="543"/>
    <cellStyle name="Comma 5" xfId="544"/>
    <cellStyle name="Comma 5 2" xfId="545"/>
    <cellStyle name="Comma 6" xfId="546"/>
    <cellStyle name="Comma 7" xfId="547"/>
    <cellStyle name="Comma 7 2" xfId="548"/>
    <cellStyle name="Comma 8" xfId="549"/>
    <cellStyle name="Comma 9" xfId="550"/>
    <cellStyle name="Explanatory Text 10" xfId="551"/>
    <cellStyle name="Explanatory Text 11" xfId="552"/>
    <cellStyle name="Explanatory Text 12" xfId="553"/>
    <cellStyle name="Explanatory Text 13" xfId="554"/>
    <cellStyle name="Explanatory Text 2" xfId="555"/>
    <cellStyle name="Explanatory Text 2 2" xfId="556"/>
    <cellStyle name="Explanatory Text 3" xfId="557"/>
    <cellStyle name="Explanatory Text 4" xfId="558"/>
    <cellStyle name="Explanatory Text 5" xfId="559"/>
    <cellStyle name="Explanatory Text 6" xfId="560"/>
    <cellStyle name="Explanatory Text 7" xfId="561"/>
    <cellStyle name="Explanatory Text 8" xfId="562"/>
    <cellStyle name="Explanatory Text 9" xfId="563"/>
    <cellStyle name="Good 10" xfId="564"/>
    <cellStyle name="Good 11" xfId="565"/>
    <cellStyle name="Good 12" xfId="566"/>
    <cellStyle name="Good 13" xfId="567"/>
    <cellStyle name="Good 2" xfId="568"/>
    <cellStyle name="Good 2 2" xfId="569"/>
    <cellStyle name="Good 3" xfId="570"/>
    <cellStyle name="Good 4" xfId="571"/>
    <cellStyle name="Good 5" xfId="572"/>
    <cellStyle name="Good 6" xfId="573"/>
    <cellStyle name="Good 7" xfId="574"/>
    <cellStyle name="Good 8" xfId="575"/>
    <cellStyle name="Good 9" xfId="576"/>
    <cellStyle name="Heading 1 10" xfId="577"/>
    <cellStyle name="Heading 1 11" xfId="578"/>
    <cellStyle name="Heading 1 12" xfId="579"/>
    <cellStyle name="Heading 1 13" xfId="580"/>
    <cellStyle name="Heading 1 2" xfId="581"/>
    <cellStyle name="Heading 1 2 2" xfId="582"/>
    <cellStyle name="Heading 1 3" xfId="583"/>
    <cellStyle name="Heading 1 4" xfId="584"/>
    <cellStyle name="Heading 1 5" xfId="585"/>
    <cellStyle name="Heading 1 6" xfId="586"/>
    <cellStyle name="Heading 1 7" xfId="587"/>
    <cellStyle name="Heading 1 8" xfId="588"/>
    <cellStyle name="Heading 1 9" xfId="589"/>
    <cellStyle name="Heading 2 10" xfId="590"/>
    <cellStyle name="Heading 2 11" xfId="591"/>
    <cellStyle name="Heading 2 12" xfId="592"/>
    <cellStyle name="Heading 2 13" xfId="593"/>
    <cellStyle name="Heading 2 2" xfId="594"/>
    <cellStyle name="Heading 2 2 2" xfId="595"/>
    <cellStyle name="Heading 2 3" xfId="596"/>
    <cellStyle name="Heading 2 4" xfId="597"/>
    <cellStyle name="Heading 2 5" xfId="598"/>
    <cellStyle name="Heading 2 6" xfId="599"/>
    <cellStyle name="Heading 2 7" xfId="600"/>
    <cellStyle name="Heading 2 8" xfId="601"/>
    <cellStyle name="Heading 2 9" xfId="602"/>
    <cellStyle name="Heading 3 10" xfId="603"/>
    <cellStyle name="Heading 3 11" xfId="604"/>
    <cellStyle name="Heading 3 12" xfId="605"/>
    <cellStyle name="Heading 3 13" xfId="606"/>
    <cellStyle name="Heading 3 2" xfId="607"/>
    <cellStyle name="Heading 3 2 2" xfId="608"/>
    <cellStyle name="Heading 3 3" xfId="609"/>
    <cellStyle name="Heading 3 4" xfId="610"/>
    <cellStyle name="Heading 3 5" xfId="611"/>
    <cellStyle name="Heading 3 6" xfId="612"/>
    <cellStyle name="Heading 3 7" xfId="613"/>
    <cellStyle name="Heading 3 8" xfId="614"/>
    <cellStyle name="Heading 3 9" xfId="615"/>
    <cellStyle name="Heading 4 10" xfId="616"/>
    <cellStyle name="Heading 4 11" xfId="617"/>
    <cellStyle name="Heading 4 12" xfId="618"/>
    <cellStyle name="Heading 4 13" xfId="619"/>
    <cellStyle name="Heading 4 2" xfId="620"/>
    <cellStyle name="Heading 4 2 2" xfId="621"/>
    <cellStyle name="Heading 4 3" xfId="622"/>
    <cellStyle name="Heading 4 4" xfId="623"/>
    <cellStyle name="Heading 4 5" xfId="624"/>
    <cellStyle name="Heading 4 6" xfId="625"/>
    <cellStyle name="Heading 4 7" xfId="626"/>
    <cellStyle name="Heading 4 8" xfId="627"/>
    <cellStyle name="Heading 4 9" xfId="628"/>
    <cellStyle name="Input 10" xfId="629"/>
    <cellStyle name="Input 11" xfId="630"/>
    <cellStyle name="Input 12" xfId="631"/>
    <cellStyle name="Input 13" xfId="632"/>
    <cellStyle name="Input 2" xfId="633"/>
    <cellStyle name="Input 2 2" xfId="634"/>
    <cellStyle name="Input 3" xfId="635"/>
    <cellStyle name="Input 4" xfId="636"/>
    <cellStyle name="Input 5" xfId="637"/>
    <cellStyle name="Input 6" xfId="638"/>
    <cellStyle name="Input 7" xfId="639"/>
    <cellStyle name="Input 8" xfId="640"/>
    <cellStyle name="Input 9" xfId="641"/>
    <cellStyle name="Linked Cell 10" xfId="642"/>
    <cellStyle name="Linked Cell 11" xfId="643"/>
    <cellStyle name="Linked Cell 12" xfId="644"/>
    <cellStyle name="Linked Cell 13" xfId="645"/>
    <cellStyle name="Linked Cell 2" xfId="646"/>
    <cellStyle name="Linked Cell 2 2" xfId="647"/>
    <cellStyle name="Linked Cell 3" xfId="648"/>
    <cellStyle name="Linked Cell 4" xfId="649"/>
    <cellStyle name="Linked Cell 5" xfId="650"/>
    <cellStyle name="Linked Cell 6" xfId="651"/>
    <cellStyle name="Linked Cell 7" xfId="652"/>
    <cellStyle name="Linked Cell 8" xfId="653"/>
    <cellStyle name="Linked Cell 9" xfId="654"/>
    <cellStyle name="Neutral 10" xfId="655"/>
    <cellStyle name="Neutral 11" xfId="656"/>
    <cellStyle name="Neutral 12" xfId="657"/>
    <cellStyle name="Neutral 13" xfId="658"/>
    <cellStyle name="Neutral 2" xfId="659"/>
    <cellStyle name="Neutral 2 2" xfId="660"/>
    <cellStyle name="Neutral 3" xfId="661"/>
    <cellStyle name="Neutral 4" xfId="662"/>
    <cellStyle name="Neutral 5" xfId="663"/>
    <cellStyle name="Neutral 6" xfId="664"/>
    <cellStyle name="Neutral 7" xfId="665"/>
    <cellStyle name="Neutral 8" xfId="666"/>
    <cellStyle name="Neutral 9" xfId="667"/>
    <cellStyle name="Normal" xfId="0" builtinId="0"/>
    <cellStyle name="Normal 2" xfId="668"/>
    <cellStyle name="Normal 2 2" xfId="669"/>
    <cellStyle name="Normal 2 2 2" xfId="670"/>
    <cellStyle name="Normal 2 2 2 2" xfId="671"/>
    <cellStyle name="Normal 2 2 2 3" xfId="672"/>
    <cellStyle name="Normal 2 2 2 4" xfId="673"/>
    <cellStyle name="Normal 2 2 2 5" xfId="674"/>
    <cellStyle name="Normal 2 2 2 5 2" xfId="675"/>
    <cellStyle name="Normal 2 2 2 5 2 2" xfId="676"/>
    <cellStyle name="Normal 2 2 2 5 2 2 2" xfId="808"/>
    <cellStyle name="Normal 2 2 2 5 2 3" xfId="807"/>
    <cellStyle name="Normal 2 2 2 5 3" xfId="677"/>
    <cellStyle name="Normal 2 2 2 5 3 2" xfId="809"/>
    <cellStyle name="Normal 2 2 2 5 4" xfId="806"/>
    <cellStyle name="Normal 2 2 2 6" xfId="678"/>
    <cellStyle name="Normal 2 2 2 6 2" xfId="679"/>
    <cellStyle name="Normal 2 2 2 6 2 2" xfId="811"/>
    <cellStyle name="Normal 2 2 2 6 3" xfId="810"/>
    <cellStyle name="Normal 2 2 2 7" xfId="680"/>
    <cellStyle name="Normal 2 2 2 7 2" xfId="812"/>
    <cellStyle name="Normal 2 2 2 8" xfId="805"/>
    <cellStyle name="Normal 2 2 3" xfId="681"/>
    <cellStyle name="Normal 2 2 3 2" xfId="682"/>
    <cellStyle name="Normal 2 2 3 2 2" xfId="683"/>
    <cellStyle name="Normal 2 2 3 2 2 2" xfId="684"/>
    <cellStyle name="Normal 2 2 3 2 2 2 2" xfId="816"/>
    <cellStyle name="Normal 2 2 3 2 2 3" xfId="815"/>
    <cellStyle name="Normal 2 2 3 2 3" xfId="685"/>
    <cellStyle name="Normal 2 2 3 2 3 2" xfId="817"/>
    <cellStyle name="Normal 2 2 3 2 4" xfId="814"/>
    <cellStyle name="Normal 2 2 3 3" xfId="686"/>
    <cellStyle name="Normal 2 2 3 3 2" xfId="687"/>
    <cellStyle name="Normal 2 2 3 3 2 2" xfId="819"/>
    <cellStyle name="Normal 2 2 3 3 3" xfId="818"/>
    <cellStyle name="Normal 2 2 3 4" xfId="688"/>
    <cellStyle name="Normal 2 2 3 4 2" xfId="820"/>
    <cellStyle name="Normal 2 2 3 5" xfId="813"/>
    <cellStyle name="Normal 2 2 4" xfId="689"/>
    <cellStyle name="Normal 2 2 4 2" xfId="690"/>
    <cellStyle name="Normal 2 2 4 2 2" xfId="691"/>
    <cellStyle name="Normal 2 2 4 2 2 2" xfId="692"/>
    <cellStyle name="Normal 2 2 4 2 2 2 2" xfId="824"/>
    <cellStyle name="Normal 2 2 4 2 2 3" xfId="823"/>
    <cellStyle name="Normal 2 2 4 2 3" xfId="693"/>
    <cellStyle name="Normal 2 2 4 2 3 2" xfId="825"/>
    <cellStyle name="Normal 2 2 4 2 4" xfId="822"/>
    <cellStyle name="Normal 2 2 4 3" xfId="694"/>
    <cellStyle name="Normal 2 2 4 3 2" xfId="695"/>
    <cellStyle name="Normal 2 2 4 3 2 2" xfId="827"/>
    <cellStyle name="Normal 2 2 4 3 3" xfId="826"/>
    <cellStyle name="Normal 2 2 4 4" xfId="696"/>
    <cellStyle name="Normal 2 2 4 4 2" xfId="828"/>
    <cellStyle name="Normal 2 2 4 5" xfId="821"/>
    <cellStyle name="Normal 2 3" xfId="697"/>
    <cellStyle name="Normal 2 3 2" xfId="698"/>
    <cellStyle name="Normal 2 3 2 2" xfId="699"/>
    <cellStyle name="Normal 2 3 2 2 2" xfId="831"/>
    <cellStyle name="Normal 2 3 2 3" xfId="830"/>
    <cellStyle name="Normal 2 3 3" xfId="700"/>
    <cellStyle name="Normal 2 3 3 2" xfId="832"/>
    <cellStyle name="Normal 2 3 4" xfId="829"/>
    <cellStyle name="Normal 2 4" xfId="701"/>
    <cellStyle name="Normal 2 4 2" xfId="702"/>
    <cellStyle name="Normal 2 4 2 2" xfId="834"/>
    <cellStyle name="Normal 2 4 3" xfId="833"/>
    <cellStyle name="Normal 2 5" xfId="703"/>
    <cellStyle name="Normal 2 5 2" xfId="835"/>
    <cellStyle name="Normal 2 6" xfId="804"/>
    <cellStyle name="Normal 3" xfId="704"/>
    <cellStyle name="Normal 3 2" xfId="705"/>
    <cellStyle name="Normal 3 2 2" xfId="706"/>
    <cellStyle name="Normal 3 2 2 2" xfId="707"/>
    <cellStyle name="Normal 3 2 2 2 2" xfId="708"/>
    <cellStyle name="Normal 3 2 2 2 2 2" xfId="840"/>
    <cellStyle name="Normal 3 2 2 2 3" xfId="839"/>
    <cellStyle name="Normal 3 2 2 3" xfId="709"/>
    <cellStyle name="Normal 3 2 2 3 2" xfId="841"/>
    <cellStyle name="Normal 3 2 2 4" xfId="838"/>
    <cellStyle name="Normal 3 2 3" xfId="710"/>
    <cellStyle name="Normal 3 2 3 2" xfId="711"/>
    <cellStyle name="Normal 3 2 3 2 2" xfId="843"/>
    <cellStyle name="Normal 3 2 3 3" xfId="842"/>
    <cellStyle name="Normal 3 2 4" xfId="712"/>
    <cellStyle name="Normal 3 2 4 2" xfId="844"/>
    <cellStyle name="Normal 3 2 5" xfId="837"/>
    <cellStyle name="Normal 3 3" xfId="713"/>
    <cellStyle name="Normal 3 3 2" xfId="714"/>
    <cellStyle name="Normal 3 3 2 2" xfId="715"/>
    <cellStyle name="Normal 3 3 2 2 2" xfId="716"/>
    <cellStyle name="Normal 3 3 2 2 2 2" xfId="848"/>
    <cellStyle name="Normal 3 3 2 2 3" xfId="847"/>
    <cellStyle name="Normal 3 3 2 3" xfId="717"/>
    <cellStyle name="Normal 3 3 2 3 2" xfId="849"/>
    <cellStyle name="Normal 3 3 2 4" xfId="846"/>
    <cellStyle name="Normal 3 3 3" xfId="718"/>
    <cellStyle name="Normal 3 3 3 2" xfId="719"/>
    <cellStyle name="Normal 3 3 3 2 2" xfId="851"/>
    <cellStyle name="Normal 3 3 3 3" xfId="850"/>
    <cellStyle name="Normal 3 3 4" xfId="720"/>
    <cellStyle name="Normal 3 3 4 2" xfId="852"/>
    <cellStyle name="Normal 3 3 5" xfId="845"/>
    <cellStyle name="Normal 3 4" xfId="721"/>
    <cellStyle name="Normal 3 4 2" xfId="722"/>
    <cellStyle name="Normal 3 4 2 2" xfId="723"/>
    <cellStyle name="Normal 3 4 2 2 2" xfId="724"/>
    <cellStyle name="Normal 3 4 2 2 2 2" xfId="856"/>
    <cellStyle name="Normal 3 4 2 2 3" xfId="855"/>
    <cellStyle name="Normal 3 4 2 3" xfId="725"/>
    <cellStyle name="Normal 3 4 2 3 2" xfId="857"/>
    <cellStyle name="Normal 3 4 2 4" xfId="854"/>
    <cellStyle name="Normal 3 4 3" xfId="726"/>
    <cellStyle name="Normal 3 4 3 2" xfId="727"/>
    <cellStyle name="Normal 3 4 3 2 2" xfId="859"/>
    <cellStyle name="Normal 3 4 3 3" xfId="858"/>
    <cellStyle name="Normal 3 4 4" xfId="728"/>
    <cellStyle name="Normal 3 4 4 2" xfId="860"/>
    <cellStyle name="Normal 3 4 5" xfId="853"/>
    <cellStyle name="Normal 3 5" xfId="729"/>
    <cellStyle name="Normal 3 5 2" xfId="730"/>
    <cellStyle name="Normal 3 5 2 2" xfId="731"/>
    <cellStyle name="Normal 3 5 2 2 2" xfId="863"/>
    <cellStyle name="Normal 3 5 2 3" xfId="862"/>
    <cellStyle name="Normal 3 5 3" xfId="732"/>
    <cellStyle name="Normal 3 5 3 2" xfId="864"/>
    <cellStyle name="Normal 3 5 4" xfId="861"/>
    <cellStyle name="Normal 3 6" xfId="733"/>
    <cellStyle name="Normal 3 6 2" xfId="734"/>
    <cellStyle name="Normal 3 6 2 2" xfId="866"/>
    <cellStyle name="Normal 3 6 3" xfId="865"/>
    <cellStyle name="Normal 3 7" xfId="735"/>
    <cellStyle name="Normal 3 7 2" xfId="867"/>
    <cellStyle name="Normal 3 8" xfId="836"/>
    <cellStyle name="Normal 4" xfId="736"/>
    <cellStyle name="Normal 4 2" xfId="737"/>
    <cellStyle name="Normal 5" xfId="868"/>
    <cellStyle name="Normal 8" xfId="738"/>
    <cellStyle name="Note 10" xfId="739"/>
    <cellStyle name="Note 11" xfId="740"/>
    <cellStyle name="Note 12" xfId="741"/>
    <cellStyle name="Note 13" xfId="742"/>
    <cellStyle name="Note 2" xfId="743"/>
    <cellStyle name="Note 2 2" xfId="744"/>
    <cellStyle name="Note 3" xfId="745"/>
    <cellStyle name="Note 4" xfId="746"/>
    <cellStyle name="Note 5" xfId="747"/>
    <cellStyle name="Note 6" xfId="748"/>
    <cellStyle name="Note 7" xfId="749"/>
    <cellStyle name="Note 8" xfId="750"/>
    <cellStyle name="Note 9" xfId="751"/>
    <cellStyle name="Output 10" xfId="752"/>
    <cellStyle name="Output 11" xfId="753"/>
    <cellStyle name="Output 12" xfId="754"/>
    <cellStyle name="Output 13" xfId="755"/>
    <cellStyle name="Output 2" xfId="756"/>
    <cellStyle name="Output 2 2" xfId="757"/>
    <cellStyle name="Output 3" xfId="758"/>
    <cellStyle name="Output 4" xfId="759"/>
    <cellStyle name="Output 5" xfId="760"/>
    <cellStyle name="Output 6" xfId="761"/>
    <cellStyle name="Output 7" xfId="762"/>
    <cellStyle name="Output 8" xfId="763"/>
    <cellStyle name="Output 9" xfId="764"/>
    <cellStyle name="Title 10" xfId="765"/>
    <cellStyle name="Title 11" xfId="766"/>
    <cellStyle name="Title 12" xfId="767"/>
    <cellStyle name="Title 13" xfId="768"/>
    <cellStyle name="Title 2" xfId="769"/>
    <cellStyle name="Title 2 2" xfId="770"/>
    <cellStyle name="Title 3" xfId="771"/>
    <cellStyle name="Title 4" xfId="772"/>
    <cellStyle name="Title 5" xfId="773"/>
    <cellStyle name="Title 6" xfId="774"/>
    <cellStyle name="Title 7" xfId="775"/>
    <cellStyle name="Title 8" xfId="776"/>
    <cellStyle name="Title 9" xfId="777"/>
    <cellStyle name="Total 10" xfId="778"/>
    <cellStyle name="Total 11" xfId="779"/>
    <cellStyle name="Total 12" xfId="780"/>
    <cellStyle name="Total 13" xfId="781"/>
    <cellStyle name="Total 2" xfId="782"/>
    <cellStyle name="Total 2 2" xfId="783"/>
    <cellStyle name="Total 3" xfId="784"/>
    <cellStyle name="Total 4" xfId="785"/>
    <cellStyle name="Total 5" xfId="786"/>
    <cellStyle name="Total 6" xfId="787"/>
    <cellStyle name="Total 7" xfId="788"/>
    <cellStyle name="Total 8" xfId="789"/>
    <cellStyle name="Total 9" xfId="790"/>
    <cellStyle name="Warning Text 10" xfId="791"/>
    <cellStyle name="Warning Text 11" xfId="792"/>
    <cellStyle name="Warning Text 12" xfId="793"/>
    <cellStyle name="Warning Text 13" xfId="794"/>
    <cellStyle name="Warning Text 2" xfId="795"/>
    <cellStyle name="Warning Text 2 2" xfId="796"/>
    <cellStyle name="Warning Text 3" xfId="797"/>
    <cellStyle name="Warning Text 4" xfId="798"/>
    <cellStyle name="Warning Text 5" xfId="799"/>
    <cellStyle name="Warning Text 6" xfId="800"/>
    <cellStyle name="Warning Text 7" xfId="801"/>
    <cellStyle name="Warning Text 8" xfId="802"/>
    <cellStyle name="Warning Text 9" xfId="8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Province/Area wise number of districts/areas with RSP presence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 (As at</a:t>
            </a:r>
            <a:r>
              <a:rPr lang="en-US" baseline="0"/>
              <a:t> March,</a:t>
            </a:r>
            <a:r>
              <a:rPr lang="en-US"/>
              <a:t> 2014)</a:t>
            </a:r>
          </a:p>
        </c:rich>
      </c:tx>
      <c:spPr>
        <a:noFill/>
        <a:ln w="25400">
          <a:noFill/>
        </a:ln>
      </c:spPr>
    </c:title>
    <c:view3D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'Graphs for presentation'!$B$3</c:f>
              <c:strCache>
                <c:ptCount val="1"/>
                <c:pt idx="0">
                  <c:v>Number of total districts/areas in the province/area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Val val="1"/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presentation'!$B$4:$B$10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'Graphs for presentation'!$C$3</c:f>
              <c:strCache>
                <c:ptCount val="1"/>
                <c:pt idx="0">
                  <c:v>Number of districts/areas having RSPs presence 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Val val="1"/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presentation'!$C$4:$C$10</c:f>
              <c:numCache>
                <c:formatCode>General</c:formatCode>
                <c:ptCount val="7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37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</c:ser>
        <c:gapWidth val="75"/>
        <c:shape val="box"/>
        <c:axId val="56395648"/>
        <c:axId val="56397184"/>
        <c:axId val="0"/>
      </c:bar3DChart>
      <c:catAx>
        <c:axId val="5639564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6397184"/>
        <c:crosses val="autoZero"/>
        <c:auto val="1"/>
        <c:lblAlgn val="ctr"/>
        <c:lblOffset val="100"/>
      </c:catAx>
      <c:valAx>
        <c:axId val="563971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395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Amount of micro-credit</a:t>
            </a:r>
            <a:r>
              <a:rPr lang="en-US" baseline="0"/>
              <a:t> disbursed (Rs. in millions)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graphs!$B$139</c:f>
              <c:strCache>
                <c:ptCount val="1"/>
                <c:pt idx="0">
                  <c:v>Women </c:v>
                </c:pt>
              </c:strCache>
            </c:strRef>
          </c:tx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graphs!$C$139:$E$139</c:f>
              <c:numCache>
                <c:formatCode>_(* #,##0_);_(* \(#,##0\);_(* "-"??_);_(@_)</c:formatCode>
                <c:ptCount val="3"/>
                <c:pt idx="0">
                  <c:v>11.086100000000002</c:v>
                </c:pt>
                <c:pt idx="1">
                  <c:v>1129.6137100000001</c:v>
                </c:pt>
                <c:pt idx="2">
                  <c:v>48618.985709999994</c:v>
                </c:pt>
              </c:numCache>
            </c:numRef>
          </c:val>
        </c:ser>
        <c:ser>
          <c:idx val="1"/>
          <c:order val="1"/>
          <c:tx>
            <c:strRef>
              <c:f>graphs!$B$140</c:f>
              <c:strCache>
                <c:ptCount val="1"/>
                <c:pt idx="0">
                  <c:v>Men </c:v>
                </c:pt>
              </c:strCache>
            </c:strRef>
          </c:tx>
          <c:dLbls>
            <c:dLbl>
              <c:idx val="1"/>
              <c:layout>
                <c:manualLayout>
                  <c:x val="0"/>
                  <c:y val="-2.6834378007642649E-2"/>
                </c:manualLayout>
              </c:layout>
              <c:showVal val="1"/>
            </c:dLbl>
            <c:showVal val="1"/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graphs!$C$140:$E$140</c:f>
              <c:numCache>
                <c:formatCode>_(* #,##0_);_(* \(#,##0\);_(* "-"??_);_(@_)</c:formatCode>
                <c:ptCount val="3"/>
                <c:pt idx="0">
                  <c:v>144.87455300000002</c:v>
                </c:pt>
                <c:pt idx="1">
                  <c:v>5493.9082699999999</c:v>
                </c:pt>
                <c:pt idx="2">
                  <c:v>56807.523201999997</c:v>
                </c:pt>
              </c:numCache>
            </c:numRef>
          </c:val>
        </c:ser>
        <c:ser>
          <c:idx val="2"/>
          <c:order val="2"/>
          <c:tx>
            <c:strRef>
              <c:f>graphs!$B$141</c:f>
              <c:strCache>
                <c:ptCount val="1"/>
                <c:pt idx="0">
                  <c:v>Total </c:v>
                </c:pt>
              </c:strCache>
            </c:strRef>
          </c:tx>
          <c:dLbls>
            <c:dLbl>
              <c:idx val="1"/>
              <c:layout>
                <c:manualLayout>
                  <c:x val="-4.0339702760084709E-2"/>
                  <c:y val="-6.3731647768150976E-2"/>
                </c:manualLayout>
              </c:layout>
              <c:showVal val="1"/>
            </c:dLbl>
            <c:showVal val="1"/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graphs!$C$141:$E$141</c:f>
              <c:numCache>
                <c:formatCode>_(* #,##0_);_(* \(#,##0\);_(* "-"??_);_(@_)</c:formatCode>
                <c:ptCount val="3"/>
                <c:pt idx="0">
                  <c:v>155.96065300000001</c:v>
                </c:pt>
                <c:pt idx="1">
                  <c:v>6623.5219799999995</c:v>
                </c:pt>
                <c:pt idx="2">
                  <c:v>105426.50891199999</c:v>
                </c:pt>
              </c:numCache>
            </c:numRef>
          </c:val>
        </c:ser>
        <c:dLbls>
          <c:showVal val="1"/>
        </c:dLbls>
        <c:marker val="1"/>
        <c:axId val="72395776"/>
        <c:axId val="72409856"/>
      </c:lineChart>
      <c:catAx>
        <c:axId val="72395776"/>
        <c:scaling>
          <c:orientation val="minMax"/>
        </c:scaling>
        <c:axPos val="b"/>
        <c:majorTickMark val="none"/>
        <c:tickLblPos val="nextTo"/>
        <c:crossAx val="72409856"/>
        <c:crosses val="autoZero"/>
        <c:auto val="1"/>
        <c:lblAlgn val="ctr"/>
        <c:lblOffset val="100"/>
      </c:catAx>
      <c:valAx>
        <c:axId val="7240985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one"/>
        <c:crossAx val="72395776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/>
    <c:plotArea>
      <c:layout/>
      <c:lineChart>
        <c:grouping val="stacked"/>
        <c:ser>
          <c:idx val="0"/>
          <c:order val="0"/>
          <c:tx>
            <c:strRef>
              <c:f>graphs!$B$164</c:f>
              <c:strCache>
                <c:ptCount val="1"/>
                <c:pt idx="0">
                  <c:v>Total amount of CIF disbursed (Rs. million)</c:v>
                </c:pt>
              </c:strCache>
            </c:strRef>
          </c:tx>
          <c:cat>
            <c:strRef>
              <c:f>graphs!$C$163:$E$163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graphs!$C$164:$E$164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_(* #,##0.0_);_(* \(#,##0.0\);_(* &quot;-&quot;??_);_(@_)">
                  <c:v>2034.249583</c:v>
                </c:pt>
              </c:numCache>
            </c:numRef>
          </c:val>
        </c:ser>
        <c:dLbls>
          <c:showVal val="1"/>
        </c:dLbls>
        <c:marker val="1"/>
        <c:axId val="72569600"/>
        <c:axId val="72571136"/>
      </c:lineChart>
      <c:catAx>
        <c:axId val="72569600"/>
        <c:scaling>
          <c:orientation val="minMax"/>
        </c:scaling>
        <c:axPos val="b"/>
        <c:majorTickMark val="none"/>
        <c:tickLblPos val="nextTo"/>
        <c:crossAx val="72571136"/>
        <c:crosses val="autoZero"/>
        <c:auto val="1"/>
        <c:lblAlgn val="ctr"/>
        <c:lblOffset val="100"/>
      </c:catAx>
      <c:valAx>
        <c:axId val="72571136"/>
        <c:scaling>
          <c:orientation val="minMax"/>
        </c:scaling>
        <c:delete val="1"/>
        <c:axPos val="l"/>
        <c:numFmt formatCode="General" sourceLinked="1"/>
        <c:tickLblPos val="none"/>
        <c:crossAx val="72569600"/>
        <c:crosses val="autoZero"/>
        <c:crossBetween val="between"/>
      </c:valAx>
    </c:plotArea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Micro Insurance Clients 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graphs!$B$173</c:f>
              <c:strCache>
                <c:ptCount val="1"/>
                <c:pt idx="0">
                  <c:v>Women </c:v>
                </c:pt>
              </c:strCache>
            </c:strRef>
          </c:tx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graphs!$C$173:$E$173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1246039</c:v>
                </c:pt>
              </c:numCache>
            </c:numRef>
          </c:val>
        </c:ser>
        <c:ser>
          <c:idx val="1"/>
          <c:order val="1"/>
          <c:tx>
            <c:strRef>
              <c:f>graphs!$B$174</c:f>
              <c:strCache>
                <c:ptCount val="1"/>
                <c:pt idx="0">
                  <c:v>Men </c:v>
                </c:pt>
              </c:strCache>
            </c:strRef>
          </c:tx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graphs!$C$174:$E$174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2696739</c:v>
                </c:pt>
              </c:numCache>
            </c:numRef>
          </c:val>
        </c:ser>
        <c:ser>
          <c:idx val="2"/>
          <c:order val="2"/>
          <c:tx>
            <c:strRef>
              <c:f>graphs!$B$175</c:f>
              <c:strCache>
                <c:ptCount val="1"/>
                <c:pt idx="0">
                  <c:v>Total </c:v>
                </c:pt>
              </c:strCache>
            </c:strRef>
          </c:tx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graphs!$C$175:$E$175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3942778</c:v>
                </c:pt>
              </c:numCache>
            </c:numRef>
          </c:val>
        </c:ser>
        <c:dLbls>
          <c:showVal val="1"/>
        </c:dLbls>
        <c:marker val="1"/>
        <c:axId val="72622464"/>
        <c:axId val="72624000"/>
      </c:lineChart>
      <c:catAx>
        <c:axId val="72622464"/>
        <c:scaling>
          <c:orientation val="minMax"/>
        </c:scaling>
        <c:axPos val="b"/>
        <c:majorTickMark val="none"/>
        <c:tickLblPos val="nextTo"/>
        <c:crossAx val="72624000"/>
        <c:crosses val="autoZero"/>
        <c:auto val="1"/>
        <c:lblAlgn val="ctr"/>
        <c:lblOffset val="100"/>
      </c:catAx>
      <c:valAx>
        <c:axId val="72624000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72622464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and</a:t>
            </a:r>
            <a:r>
              <a:rPr lang="en-US" baseline="0"/>
              <a:t> Cost (Rs. in million) of Community Physical Infrastructure Schemes 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graphs!$B$189</c:f>
              <c:strCache>
                <c:ptCount val="1"/>
                <c:pt idx="0">
                  <c:v># of PPI/CPI schemes </c:v>
                </c:pt>
              </c:strCache>
            </c:strRef>
          </c:tx>
          <c:dLbls>
            <c:showVal val="1"/>
          </c:dLbls>
          <c:cat>
            <c:strRef>
              <c:f>graphs!$C$188:$E$188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graphs!$C$189:$E$189</c:f>
              <c:numCache>
                <c:formatCode>_(* #,##0_);_(* \(#,##0\);_(* "-"??_);_(@_)</c:formatCode>
                <c:ptCount val="3"/>
                <c:pt idx="0">
                  <c:v>1244</c:v>
                </c:pt>
                <c:pt idx="1">
                  <c:v>18053</c:v>
                </c:pt>
                <c:pt idx="2">
                  <c:v>149267</c:v>
                </c:pt>
              </c:numCache>
            </c:numRef>
          </c:val>
        </c:ser>
        <c:ser>
          <c:idx val="1"/>
          <c:order val="1"/>
          <c:tx>
            <c:strRef>
              <c:f>graphs!$B$190</c:f>
              <c:strCache>
                <c:ptCount val="1"/>
                <c:pt idx="0">
                  <c:v>Total cost of CPIs (Rs. Million) </c:v>
                </c:pt>
              </c:strCache>
            </c:strRef>
          </c:tx>
          <c:dLbls>
            <c:showVal val="1"/>
          </c:dLbls>
          <c:cat>
            <c:strRef>
              <c:f>graphs!$C$188:$E$188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graphs!$C$190:$E$190</c:f>
              <c:numCache>
                <c:formatCode>_(* #,##0_);_(* \(#,##0\);_(* "-"??_);_(@_)</c:formatCode>
                <c:ptCount val="3"/>
                <c:pt idx="0">
                  <c:v>223.26499999999999</c:v>
                </c:pt>
                <c:pt idx="1">
                  <c:v>2310.2607330000001</c:v>
                </c:pt>
                <c:pt idx="2">
                  <c:v>19214.742069</c:v>
                </c:pt>
              </c:numCache>
            </c:numRef>
          </c:val>
        </c:ser>
        <c:marker val="1"/>
        <c:axId val="72657920"/>
        <c:axId val="72688384"/>
      </c:lineChart>
      <c:catAx>
        <c:axId val="72657920"/>
        <c:scaling>
          <c:orientation val="minMax"/>
        </c:scaling>
        <c:axPos val="b"/>
        <c:majorTickMark val="none"/>
        <c:tickLblPos val="nextTo"/>
        <c:crossAx val="72688384"/>
        <c:crosses val="autoZero"/>
        <c:auto val="1"/>
        <c:lblAlgn val="ctr"/>
        <c:lblOffset val="100"/>
      </c:catAx>
      <c:valAx>
        <c:axId val="72688384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72657920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households </a:t>
            </a:r>
            <a:r>
              <a:rPr lang="en-US"/>
              <a:t>benefiting from Community Physical</a:t>
            </a:r>
            <a:r>
              <a:rPr lang="en-US" baseline="0"/>
              <a:t> Infrastructure Schemes</a:t>
            </a:r>
            <a:r>
              <a:rPr lang="en-US"/>
              <a:t> </a:t>
            </a:r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graphs!$B$196</c:f>
              <c:strCache>
                <c:ptCount val="1"/>
                <c:pt idx="0">
                  <c:v># of beneficiary households of CPIs </c:v>
                </c:pt>
              </c:strCache>
            </c:strRef>
          </c:tx>
          <c:cat>
            <c:strRef>
              <c:f>graphs!$C$195:$E$195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graphs!$C$196:$E$196</c:f>
              <c:numCache>
                <c:formatCode>_(* #,##0_);_(* \(#,##0\);_(* "-"??_);_(@_)</c:formatCode>
                <c:ptCount val="3"/>
                <c:pt idx="0">
                  <c:v>70315</c:v>
                </c:pt>
                <c:pt idx="1">
                  <c:v>924178</c:v>
                </c:pt>
                <c:pt idx="2">
                  <c:v>4596603</c:v>
                </c:pt>
              </c:numCache>
            </c:numRef>
          </c:val>
        </c:ser>
        <c:dLbls>
          <c:showVal val="1"/>
        </c:dLbls>
        <c:marker val="1"/>
        <c:axId val="72741632"/>
        <c:axId val="72743168"/>
      </c:lineChart>
      <c:catAx>
        <c:axId val="72741632"/>
        <c:scaling>
          <c:orientation val="minMax"/>
        </c:scaling>
        <c:axPos val="b"/>
        <c:majorTickMark val="none"/>
        <c:tickLblPos val="nextTo"/>
        <c:crossAx val="72743168"/>
        <c:crosses val="autoZero"/>
        <c:auto val="1"/>
        <c:lblAlgn val="ctr"/>
        <c:lblOffset val="100"/>
      </c:catAx>
      <c:valAx>
        <c:axId val="72743168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72741632"/>
        <c:crosses val="autoZero"/>
        <c:crossBetween val="between"/>
      </c:valAx>
    </c:plotArea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Local Support Organisations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graphs!$U$7:$W$7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graphs!$U$8:$W$8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970</c:v>
                </c:pt>
              </c:numCache>
            </c:numRef>
          </c:val>
        </c:ser>
        <c:dLbls>
          <c:showVal val="1"/>
        </c:dLbls>
        <c:marker val="1"/>
        <c:axId val="72841088"/>
        <c:axId val="72842624"/>
      </c:lineChart>
      <c:catAx>
        <c:axId val="72841088"/>
        <c:scaling>
          <c:orientation val="minMax"/>
        </c:scaling>
        <c:axPos val="b"/>
        <c:majorTickMark val="none"/>
        <c:tickLblPos val="nextTo"/>
        <c:crossAx val="72842624"/>
        <c:crosses val="autoZero"/>
        <c:auto val="1"/>
        <c:lblAlgn val="ctr"/>
        <c:lblOffset val="100"/>
      </c:catAx>
      <c:valAx>
        <c:axId val="72842624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one"/>
        <c:crossAx val="72841088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Province/Area wise number of union councils with RSP presence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 (As at March, 2014)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'Graphs for presentation'!$B$15</c:f>
              <c:strCache>
                <c:ptCount val="1"/>
                <c:pt idx="0">
                  <c:v>Total rural union councils 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Val val="1"/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presentation'!$B$16:$B$22</c:f>
              <c:numCache>
                <c:formatCode>General</c:formatCode>
                <c:ptCount val="7"/>
                <c:pt idx="0">
                  <c:v>547</c:v>
                </c:pt>
                <c:pt idx="1">
                  <c:v>964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'Graphs for presentation'!$C$15</c:f>
              <c:strCache>
                <c:ptCount val="1"/>
                <c:pt idx="0">
                  <c:v>Number of union councils having RSP presence 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Val val="1"/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presentation'!$C$16:$C$22</c:f>
              <c:numCache>
                <c:formatCode>General</c:formatCode>
                <c:ptCount val="7"/>
                <c:pt idx="0">
                  <c:v>284</c:v>
                </c:pt>
                <c:pt idx="1">
                  <c:v>559</c:v>
                </c:pt>
                <c:pt idx="2">
                  <c:v>690</c:v>
                </c:pt>
                <c:pt idx="3">
                  <c:v>1794</c:v>
                </c:pt>
                <c:pt idx="4">
                  <c:v>180</c:v>
                </c:pt>
                <c:pt idx="5">
                  <c:v>94</c:v>
                </c:pt>
                <c:pt idx="6">
                  <c:v>15</c:v>
                </c:pt>
              </c:numCache>
            </c:numRef>
          </c:val>
        </c:ser>
        <c:gapWidth val="75"/>
        <c:overlap val="-25"/>
        <c:axId val="67109632"/>
        <c:axId val="67111168"/>
      </c:barChart>
      <c:catAx>
        <c:axId val="671096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111168"/>
        <c:crosses val="autoZero"/>
        <c:auto val="1"/>
        <c:lblAlgn val="ctr"/>
        <c:lblOffset val="100"/>
      </c:catAx>
      <c:valAx>
        <c:axId val="671111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109632"/>
        <c:crosses val="autoZero"/>
        <c:crossBetween val="between"/>
      </c:valAx>
    </c:plotArea>
    <c:legend>
      <c:legendPos val="b"/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Province-wise organised households </a:t>
            </a:r>
          </a:p>
          <a:p>
            <a:pPr>
              <a:defRPr/>
            </a:pPr>
            <a:r>
              <a:rPr lang="en-US"/>
              <a:t>(% of total rural households based on 1998 census data ) </a:t>
            </a:r>
          </a:p>
          <a:p>
            <a:pPr>
              <a:defRPr/>
            </a:pPr>
            <a:r>
              <a:rPr lang="en-US"/>
              <a:t>(As of March, 2014)  </a:t>
            </a:r>
          </a:p>
          <a:p>
            <a:pPr>
              <a:defRPr/>
            </a:pP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'Graphs for presentation'!$B$27</c:f>
              <c:strCache>
                <c:ptCount val="1"/>
                <c:pt idx="0">
                  <c:v>% of households organised</c:v>
                </c:pt>
              </c:strCache>
            </c:strRef>
          </c:tx>
          <c:cat>
            <c:strRef>
              <c:f>'Graphs for presentation'!$A$28:$A$35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  <c:pt idx="7">
                  <c:v>Total </c:v>
                </c:pt>
              </c:strCache>
            </c:strRef>
          </c:cat>
          <c:val>
            <c:numRef>
              <c:f>'Graphs for presentation'!$B$28:$B$35</c:f>
              <c:numCache>
                <c:formatCode>_(* #,##0.0_);_(* \(#,##0.0\);_(* "-"??_);_(@_)</c:formatCode>
                <c:ptCount val="8"/>
                <c:pt idx="0">
                  <c:v>35.949549921332952</c:v>
                </c:pt>
                <c:pt idx="1">
                  <c:v>48.778033169938787</c:v>
                </c:pt>
                <c:pt idx="2">
                  <c:v>42.011774891004237</c:v>
                </c:pt>
                <c:pt idx="3">
                  <c:v>47.755579694297687</c:v>
                </c:pt>
                <c:pt idx="4">
                  <c:v>71.350539775930088</c:v>
                </c:pt>
                <c:pt idx="5">
                  <c:v>69.747920669136846</c:v>
                </c:pt>
                <c:pt idx="6">
                  <c:v>2.7237040252572937</c:v>
                </c:pt>
                <c:pt idx="7">
                  <c:v>45.549500018287368</c:v>
                </c:pt>
              </c:numCache>
            </c:numRef>
          </c:val>
        </c:ser>
        <c:axId val="67131264"/>
        <c:axId val="67132800"/>
      </c:barChart>
      <c:catAx>
        <c:axId val="67131264"/>
        <c:scaling>
          <c:orientation val="maxMin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67132800"/>
        <c:crosses val="autoZero"/>
        <c:auto val="1"/>
        <c:lblAlgn val="ctr"/>
        <c:lblOffset val="100"/>
      </c:catAx>
      <c:valAx>
        <c:axId val="67132800"/>
        <c:scaling>
          <c:orientation val="minMax"/>
        </c:scaling>
        <c:axPos val="r"/>
        <c:majorGridlines/>
        <c:numFmt formatCode="_(* #,##0.0_);_(* \(#,##0.0\);_(* &quot;-&quot;??_);_(@_)" sourceLinked="1"/>
        <c:majorTickMark val="none"/>
        <c:tickLblPos val="nextTo"/>
        <c:txPr>
          <a:bodyPr rot="0" vert="horz"/>
          <a:lstStyle/>
          <a:p>
            <a:pPr>
              <a:defRPr b="1"/>
            </a:pPr>
            <a:endParaRPr lang="en-US"/>
          </a:p>
        </c:txPr>
        <c:crossAx val="6713126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1"/>
            </a:pPr>
            <a:endParaRPr lang="en-US"/>
          </a:p>
        </c:txPr>
      </c:dTable>
    </c:plotArea>
    <c:plotVisOnly val="1"/>
    <c:dispBlanksAs val="gap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Presence of RSPs in number of districts </a:t>
            </a:r>
          </a:p>
        </c:rich>
      </c:tx>
    </c:title>
    <c:plotArea>
      <c:layout/>
      <c:lineChart>
        <c:grouping val="stacked"/>
        <c:ser>
          <c:idx val="0"/>
          <c:order val="0"/>
          <c:cat>
            <c:strRef>
              <c:f>graphs!$C$4:$E$4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graphs!$C$5:$E$5</c:f>
              <c:numCache>
                <c:formatCode>_-* #,##0_-;\-* #,##0_-;_-* "-"??_-;_-@_-</c:formatCode>
                <c:ptCount val="3"/>
                <c:pt idx="0">
                  <c:v>7</c:v>
                </c:pt>
                <c:pt idx="1">
                  <c:v>68</c:v>
                </c:pt>
                <c:pt idx="2">
                  <c:v>120</c:v>
                </c:pt>
              </c:numCache>
            </c:numRef>
          </c:val>
        </c:ser>
        <c:dLbls>
          <c:showVal val="1"/>
        </c:dLbls>
        <c:marker val="1"/>
        <c:axId val="70946816"/>
        <c:axId val="70948352"/>
      </c:lineChart>
      <c:catAx>
        <c:axId val="70946816"/>
        <c:scaling>
          <c:orientation val="minMax"/>
        </c:scaling>
        <c:axPos val="b"/>
        <c:majorTickMark val="none"/>
        <c:tickLblPos val="nextTo"/>
        <c:crossAx val="70948352"/>
        <c:crosses val="autoZero"/>
        <c:auto val="1"/>
        <c:lblAlgn val="ctr"/>
        <c:lblOffset val="100"/>
      </c:catAx>
      <c:valAx>
        <c:axId val="7094835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one"/>
        <c:crossAx val="70946816"/>
        <c:crosses val="autoZero"/>
        <c:crossBetween val="between"/>
      </c:valAx>
    </c:plotArea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Presence</a:t>
            </a:r>
            <a:r>
              <a:rPr lang="en-US" baseline="0"/>
              <a:t> of RSPs in number of Rural Union Councils 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cat>
            <c:strRef>
              <c:f>graphs!$C$30:$E$30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graphs!$C$31:$E$31</c:f>
              <c:numCache>
                <c:formatCode>_-* #,##0_-;\-* #,##0_-;_-* "-"??_-;_-@_-</c:formatCode>
                <c:ptCount val="3"/>
                <c:pt idx="0">
                  <c:v>121</c:v>
                </c:pt>
                <c:pt idx="1">
                  <c:v>1521</c:v>
                </c:pt>
                <c:pt idx="2">
                  <c:v>3616</c:v>
                </c:pt>
              </c:numCache>
            </c:numRef>
          </c:val>
        </c:ser>
        <c:dLbls>
          <c:showVal val="1"/>
        </c:dLbls>
        <c:marker val="1"/>
        <c:axId val="70984832"/>
        <c:axId val="70986368"/>
      </c:lineChart>
      <c:catAx>
        <c:axId val="70984832"/>
        <c:scaling>
          <c:orientation val="minMax"/>
        </c:scaling>
        <c:axPos val="b"/>
        <c:majorTickMark val="none"/>
        <c:tickLblPos val="nextTo"/>
        <c:crossAx val="70986368"/>
        <c:crosses val="autoZero"/>
        <c:auto val="1"/>
        <c:lblAlgn val="ctr"/>
        <c:lblOffset val="100"/>
      </c:catAx>
      <c:valAx>
        <c:axId val="70986368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one"/>
        <c:crossAx val="70984832"/>
        <c:crosses val="autoZero"/>
        <c:crossBetween val="between"/>
      </c:valAx>
    </c:plotArea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Organised Households (in millions)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cat>
            <c:strRef>
              <c:f>graphs!$C$56:$E$56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graphs!$C$57:$E$57</c:f>
              <c:numCache>
                <c:formatCode>_(* #,##0.00_);_(* \(#,##0.00\);_(* "-"??_);_(@_)</c:formatCode>
                <c:ptCount val="3"/>
                <c:pt idx="0">
                  <c:v>7.5465052497846685E-2</c:v>
                </c:pt>
                <c:pt idx="1">
                  <c:v>0.7407989472683647</c:v>
                </c:pt>
                <c:pt idx="2" formatCode="_(* #,##0.0_);_(* \(#,##0.0\);_(* &quot;-&quot;??_);_(@_)">
                  <c:v>5.6845660000000002</c:v>
                </c:pt>
              </c:numCache>
            </c:numRef>
          </c:val>
        </c:ser>
        <c:dLbls>
          <c:showVal val="1"/>
        </c:dLbls>
        <c:marker val="1"/>
        <c:axId val="71002368"/>
        <c:axId val="71008256"/>
      </c:lineChart>
      <c:catAx>
        <c:axId val="71002368"/>
        <c:scaling>
          <c:orientation val="minMax"/>
        </c:scaling>
        <c:axPos val="b"/>
        <c:majorTickMark val="none"/>
        <c:tickLblPos val="nextTo"/>
        <c:crossAx val="71008256"/>
        <c:crosses val="autoZero"/>
        <c:auto val="1"/>
        <c:lblAlgn val="ctr"/>
        <c:lblOffset val="100"/>
      </c:catAx>
      <c:valAx>
        <c:axId val="71008256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tickLblPos val="none"/>
        <c:crossAx val="71002368"/>
        <c:crosses val="autoZero"/>
        <c:crossBetween val="between"/>
      </c:valAx>
    </c:plotArea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Community Organisations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graphs!$B$83</c:f>
              <c:strCache>
                <c:ptCount val="1"/>
                <c:pt idx="0">
                  <c:v>Women COs </c:v>
                </c:pt>
              </c:strCache>
            </c:strRef>
          </c:tx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graphs!$C$83:$E$83</c:f>
              <c:numCache>
                <c:formatCode>_-* #,##0_-;\-* #,##0_-;_-* "-"??_-;_-@_-</c:formatCode>
                <c:ptCount val="3"/>
                <c:pt idx="0">
                  <c:v>612</c:v>
                </c:pt>
                <c:pt idx="1">
                  <c:v>11806</c:v>
                </c:pt>
                <c:pt idx="2">
                  <c:v>165294</c:v>
                </c:pt>
              </c:numCache>
            </c:numRef>
          </c:val>
        </c:ser>
        <c:ser>
          <c:idx val="1"/>
          <c:order val="1"/>
          <c:tx>
            <c:strRef>
              <c:f>graphs!$B$84</c:f>
              <c:strCache>
                <c:ptCount val="1"/>
                <c:pt idx="0">
                  <c:v>Men COs</c:v>
                </c:pt>
              </c:strCache>
            </c:strRef>
          </c:tx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graphs!$C$84:$E$84</c:f>
              <c:numCache>
                <c:formatCode>_-* #,##0_-;\-* #,##0_-;_-* "-"??_-;_-@_-</c:formatCode>
                <c:ptCount val="3"/>
                <c:pt idx="0">
                  <c:v>1723</c:v>
                </c:pt>
                <c:pt idx="1">
                  <c:v>23567.25</c:v>
                </c:pt>
                <c:pt idx="2">
                  <c:v>162575</c:v>
                </c:pt>
              </c:numCache>
            </c:numRef>
          </c:val>
        </c:ser>
        <c:ser>
          <c:idx val="2"/>
          <c:order val="2"/>
          <c:tx>
            <c:strRef>
              <c:f>graphs!$B$85</c:f>
              <c:strCache>
                <c:ptCount val="1"/>
                <c:pt idx="0">
                  <c:v>Mix COs</c:v>
                </c:pt>
              </c:strCache>
            </c:strRef>
          </c:tx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graphs!$C$85:$E$85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1252.0999999999999</c:v>
                </c:pt>
                <c:pt idx="2">
                  <c:v>13295</c:v>
                </c:pt>
              </c:numCache>
            </c:numRef>
          </c:val>
        </c:ser>
        <c:ser>
          <c:idx val="3"/>
          <c:order val="3"/>
          <c:tx>
            <c:strRef>
              <c:f>graphs!$B$86</c:f>
              <c:strCache>
                <c:ptCount val="1"/>
                <c:pt idx="0">
                  <c:v>Total </c:v>
                </c:pt>
              </c:strCache>
            </c:strRef>
          </c:tx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graphs!$C$86:$E$86</c:f>
              <c:numCache>
                <c:formatCode>_-* #,##0_-;\-* #,##0_-;_-* "-"??_-;_-@_-</c:formatCode>
                <c:ptCount val="3"/>
                <c:pt idx="0">
                  <c:v>2335</c:v>
                </c:pt>
                <c:pt idx="1">
                  <c:v>36625.35</c:v>
                </c:pt>
                <c:pt idx="2">
                  <c:v>341164</c:v>
                </c:pt>
              </c:numCache>
            </c:numRef>
          </c:val>
        </c:ser>
        <c:dLbls>
          <c:showVal val="1"/>
        </c:dLbls>
        <c:marker val="1"/>
        <c:axId val="71031808"/>
        <c:axId val="72155904"/>
      </c:lineChart>
      <c:catAx>
        <c:axId val="71031808"/>
        <c:scaling>
          <c:orientation val="minMax"/>
        </c:scaling>
        <c:axPos val="b"/>
        <c:majorTickMark val="none"/>
        <c:tickLblPos val="nextTo"/>
        <c:crossAx val="72155904"/>
        <c:crosses val="autoZero"/>
        <c:auto val="1"/>
        <c:lblAlgn val="ctr"/>
        <c:lblOffset val="100"/>
      </c:catAx>
      <c:valAx>
        <c:axId val="72155904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one"/>
        <c:crossAx val="71031808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Amount of COs Savings</a:t>
            </a:r>
            <a:r>
              <a:rPr lang="en-US" baseline="0"/>
              <a:t> (Rs. in millions)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graphs!$B$103</c:f>
              <c:strCache>
                <c:ptCount val="1"/>
                <c:pt idx="0">
                  <c:v>Women </c:v>
                </c:pt>
              </c:strCache>
            </c:strRef>
          </c:tx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graphs!$C$103:$E$103</c:f>
              <c:numCache>
                <c:formatCode>_(* #,##0_);_(* \(#,##0\);_(* "-"??_);_(@_)</c:formatCode>
                <c:ptCount val="3"/>
                <c:pt idx="0">
                  <c:v>17.787599999999998</c:v>
                </c:pt>
                <c:pt idx="1">
                  <c:v>214.49246599999998</c:v>
                </c:pt>
                <c:pt idx="2">
                  <c:v>700.75128006914997</c:v>
                </c:pt>
              </c:numCache>
            </c:numRef>
          </c:val>
        </c:ser>
        <c:ser>
          <c:idx val="1"/>
          <c:order val="1"/>
          <c:tx>
            <c:strRef>
              <c:f>graphs!$B$104</c:f>
              <c:strCache>
                <c:ptCount val="1"/>
                <c:pt idx="0">
                  <c:v>Men </c:v>
                </c:pt>
              </c:strCache>
            </c:strRef>
          </c:tx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graphs!$C$104:$E$104</c:f>
              <c:numCache>
                <c:formatCode>_(* #,##0_);_(* \(#,##0\);_(* "-"??_);_(@_)</c:formatCode>
                <c:ptCount val="3"/>
                <c:pt idx="0">
                  <c:v>127.39009999999999</c:v>
                </c:pt>
                <c:pt idx="1">
                  <c:v>628.37888399999997</c:v>
                </c:pt>
                <c:pt idx="2">
                  <c:v>1834.5024352975349</c:v>
                </c:pt>
              </c:numCache>
            </c:numRef>
          </c:val>
        </c:ser>
        <c:ser>
          <c:idx val="2"/>
          <c:order val="2"/>
          <c:tx>
            <c:strRef>
              <c:f>graphs!$B$105</c:f>
              <c:strCache>
                <c:ptCount val="1"/>
                <c:pt idx="0">
                  <c:v>Total </c:v>
                </c:pt>
              </c:strCache>
            </c:strRef>
          </c:tx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graphs!$C$105:$E$105</c:f>
              <c:numCache>
                <c:formatCode>_(* #,##0_);_(* \(#,##0\);_(* "-"??_);_(@_)</c:formatCode>
                <c:ptCount val="3"/>
                <c:pt idx="0">
                  <c:v>145.17769999999999</c:v>
                </c:pt>
                <c:pt idx="1">
                  <c:v>842.87134999999989</c:v>
                </c:pt>
                <c:pt idx="2">
                  <c:v>2535.2537153666849</c:v>
                </c:pt>
              </c:numCache>
            </c:numRef>
          </c:val>
        </c:ser>
        <c:dLbls>
          <c:showVal val="1"/>
        </c:dLbls>
        <c:marker val="1"/>
        <c:axId val="72195072"/>
        <c:axId val="72205056"/>
      </c:lineChart>
      <c:catAx>
        <c:axId val="72195072"/>
        <c:scaling>
          <c:orientation val="minMax"/>
        </c:scaling>
        <c:axPos val="b"/>
        <c:majorTickMark val="none"/>
        <c:tickLblPos val="nextTo"/>
        <c:crossAx val="72205056"/>
        <c:crosses val="autoZero"/>
        <c:auto val="1"/>
        <c:lblAlgn val="ctr"/>
        <c:lblOffset val="100"/>
      </c:catAx>
      <c:valAx>
        <c:axId val="7220505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one"/>
        <c:crossAx val="72195072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Community Members Trained in Vocational, Technical and Community Management Skills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graphs!$B$118</c:f>
              <c:strCache>
                <c:ptCount val="1"/>
                <c:pt idx="0">
                  <c:v>Women </c:v>
                </c:pt>
              </c:strCache>
            </c:strRef>
          </c:tx>
          <c:dLbls>
            <c:dLbl>
              <c:idx val="0"/>
              <c:layout>
                <c:manualLayout>
                  <c:x val="-7.066480706648072E-2"/>
                  <c:y val="-2.7053140096618477E-2"/>
                </c:manualLayout>
              </c:layout>
              <c:showVal val="1"/>
            </c:dLbl>
            <c:showVal val="1"/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graphs!$C$118:$E$118</c:f>
              <c:numCache>
                <c:formatCode>_(* #,##0_);_(* \(#,##0\);_(* "-"??_);_(@_)</c:formatCode>
                <c:ptCount val="3"/>
                <c:pt idx="0">
                  <c:v>1318</c:v>
                </c:pt>
                <c:pt idx="1">
                  <c:v>115299</c:v>
                </c:pt>
                <c:pt idx="2">
                  <c:v>1992495</c:v>
                </c:pt>
              </c:numCache>
            </c:numRef>
          </c:val>
        </c:ser>
        <c:ser>
          <c:idx val="1"/>
          <c:order val="1"/>
          <c:tx>
            <c:strRef>
              <c:f>graphs!$B$119</c:f>
              <c:strCache>
                <c:ptCount val="1"/>
                <c:pt idx="0">
                  <c:v>Men 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6.1835748792270301E-2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-3.8647342995169288E-2"/>
                </c:manualLayout>
              </c:layout>
              <c:showVal val="1"/>
            </c:dLbl>
            <c:showVal val="1"/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graphs!$C$119:$E$119</c:f>
              <c:numCache>
                <c:formatCode>_(* #,##0_);_(* \(#,##0\);_(* "-"??_);_(@_)</c:formatCode>
                <c:ptCount val="3"/>
                <c:pt idx="0">
                  <c:v>9601</c:v>
                </c:pt>
                <c:pt idx="1">
                  <c:v>253956</c:v>
                </c:pt>
                <c:pt idx="2">
                  <c:v>1805203</c:v>
                </c:pt>
              </c:numCache>
            </c:numRef>
          </c:val>
        </c:ser>
        <c:ser>
          <c:idx val="2"/>
          <c:order val="2"/>
          <c:tx>
            <c:strRef>
              <c:f>graphs!$B$120</c:f>
              <c:strCache>
                <c:ptCount val="1"/>
                <c:pt idx="0">
                  <c:v>Total </c:v>
                </c:pt>
              </c:strCache>
            </c:strRef>
          </c:tx>
          <c:dLbls>
            <c:dLbl>
              <c:idx val="0"/>
              <c:layout>
                <c:manualLayout>
                  <c:x val="-1.3017201301720131E-2"/>
                  <c:y val="-0.12367149758454106"/>
                </c:manualLayout>
              </c:layout>
              <c:showVal val="1"/>
            </c:dLbl>
            <c:dLbl>
              <c:idx val="1"/>
              <c:layout>
                <c:manualLayout>
                  <c:x val="-6.694560669456065E-2"/>
                  <c:y val="-7.3429951690821282E-2"/>
                </c:manualLayout>
              </c:layout>
              <c:showVal val="1"/>
            </c:dLbl>
            <c:showVal val="1"/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graphs!$C$120:$E$120</c:f>
              <c:numCache>
                <c:formatCode>_(* #,##0_);_(* \(#,##0\);_(* "-"??_);_(@_)</c:formatCode>
                <c:ptCount val="3"/>
                <c:pt idx="0">
                  <c:v>10919</c:v>
                </c:pt>
                <c:pt idx="1">
                  <c:v>369255</c:v>
                </c:pt>
                <c:pt idx="2">
                  <c:v>3797698</c:v>
                </c:pt>
              </c:numCache>
            </c:numRef>
          </c:val>
        </c:ser>
        <c:dLbls>
          <c:showVal val="1"/>
        </c:dLbls>
        <c:marker val="1"/>
        <c:axId val="72244224"/>
        <c:axId val="72356608"/>
      </c:lineChart>
      <c:catAx>
        <c:axId val="72244224"/>
        <c:scaling>
          <c:orientation val="minMax"/>
        </c:scaling>
        <c:axPos val="b"/>
        <c:majorTickMark val="none"/>
        <c:tickLblPos val="nextTo"/>
        <c:crossAx val="72356608"/>
        <c:crosses val="autoZero"/>
        <c:auto val="1"/>
        <c:lblAlgn val="ctr"/>
        <c:lblOffset val="100"/>
      </c:catAx>
      <c:valAx>
        <c:axId val="7235660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one"/>
        <c:crossAx val="72244224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133350</xdr:rowOff>
    </xdr:from>
    <xdr:to>
      <xdr:col>24</xdr:col>
      <xdr:colOff>361950</xdr:colOff>
      <xdr:row>27</xdr:row>
      <xdr:rowOff>133350</xdr:rowOff>
    </xdr:to>
    <xdr:graphicFrame macro="">
      <xdr:nvGraphicFramePr>
        <xdr:cNvPr id="21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568325</xdr:colOff>
      <xdr:row>29</xdr:row>
      <xdr:rowOff>70909</xdr:rowOff>
    </xdr:from>
    <xdr:to>
      <xdr:col>23</xdr:col>
      <xdr:colOff>6350</xdr:colOff>
      <xdr:row>58</xdr:row>
      <xdr:rowOff>70909</xdr:rowOff>
    </xdr:to>
    <xdr:graphicFrame macro="">
      <xdr:nvGraphicFramePr>
        <xdr:cNvPr id="21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474133</xdr:colOff>
      <xdr:row>35</xdr:row>
      <xdr:rowOff>0</xdr:rowOff>
    </xdr:from>
    <xdr:to>
      <xdr:col>2</xdr:col>
      <xdr:colOff>1058333</xdr:colOff>
      <xdr:row>59</xdr:row>
      <xdr:rowOff>86784</xdr:rowOff>
    </xdr:to>
    <xdr:graphicFrame macro="">
      <xdr:nvGraphicFramePr>
        <xdr:cNvPr id="212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5</xdr:row>
      <xdr:rowOff>185736</xdr:rowOff>
    </xdr:from>
    <xdr:to>
      <xdr:col>15</xdr:col>
      <xdr:colOff>200025</xdr:colOff>
      <xdr:row>23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28</xdr:row>
      <xdr:rowOff>128586</xdr:rowOff>
    </xdr:from>
    <xdr:to>
      <xdr:col>15</xdr:col>
      <xdr:colOff>57150</xdr:colOff>
      <xdr:row>44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333374</xdr:colOff>
      <xdr:row>57</xdr:row>
      <xdr:rowOff>166687</xdr:rowOff>
    </xdr:from>
    <xdr:to>
      <xdr:col>14</xdr:col>
      <xdr:colOff>571499</xdr:colOff>
      <xdr:row>72</xdr:row>
      <xdr:rowOff>52387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333374</xdr:colOff>
      <xdr:row>75</xdr:row>
      <xdr:rowOff>185737</xdr:rowOff>
    </xdr:from>
    <xdr:to>
      <xdr:col>16</xdr:col>
      <xdr:colOff>171449</xdr:colOff>
      <xdr:row>96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495299</xdr:colOff>
      <xdr:row>98</xdr:row>
      <xdr:rowOff>119062</xdr:rowOff>
    </xdr:from>
    <xdr:to>
      <xdr:col>16</xdr:col>
      <xdr:colOff>219074</xdr:colOff>
      <xdr:row>115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361949</xdr:colOff>
      <xdr:row>118</xdr:row>
      <xdr:rowOff>66674</xdr:rowOff>
    </xdr:from>
    <xdr:to>
      <xdr:col>16</xdr:col>
      <xdr:colOff>485774</xdr:colOff>
      <xdr:row>135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523875</xdr:colOff>
      <xdr:row>137</xdr:row>
      <xdr:rowOff>52387</xdr:rowOff>
    </xdr:from>
    <xdr:to>
      <xdr:col>15</xdr:col>
      <xdr:colOff>409575</xdr:colOff>
      <xdr:row>157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</xdr:colOff>
      <xdr:row>158</xdr:row>
      <xdr:rowOff>61912</xdr:rowOff>
    </xdr:from>
    <xdr:to>
      <xdr:col>15</xdr:col>
      <xdr:colOff>333375</xdr:colOff>
      <xdr:row>170</xdr:row>
      <xdr:rowOff>157162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142875</xdr:colOff>
      <xdr:row>172</xdr:row>
      <xdr:rowOff>23812</xdr:rowOff>
    </xdr:from>
    <xdr:to>
      <xdr:col>15</xdr:col>
      <xdr:colOff>447675</xdr:colOff>
      <xdr:row>186</xdr:row>
      <xdr:rowOff>100012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104774</xdr:colOff>
      <xdr:row>186</xdr:row>
      <xdr:rowOff>157161</xdr:rowOff>
    </xdr:from>
    <xdr:to>
      <xdr:col>24</xdr:col>
      <xdr:colOff>457199</xdr:colOff>
      <xdr:row>199</xdr:row>
      <xdr:rowOff>66674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800100</xdr:colOff>
      <xdr:row>185</xdr:row>
      <xdr:rowOff>185736</xdr:rowOff>
    </xdr:from>
    <xdr:to>
      <xdr:col>15</xdr:col>
      <xdr:colOff>400050</xdr:colOff>
      <xdr:row>203</xdr:row>
      <xdr:rowOff>66674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276225</xdr:colOff>
      <xdr:row>7</xdr:row>
      <xdr:rowOff>185736</xdr:rowOff>
    </xdr:from>
    <xdr:to>
      <xdr:col>27</xdr:col>
      <xdr:colOff>295275</xdr:colOff>
      <xdr:row>25</xdr:row>
      <xdr:rowOff>76199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zal%20Docs\Workplan%202011\MER%202011\OUTREACH%20ISSUE%2010\Final%20Outreach%20Issue%2010%20all%20RSPs%20(28-09-1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DP%20Outreach_Issue_21%20(March%20%202014)%2016%20June%20201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_20_As_of_Dec_2013%20SRS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RSP%20Outreach_Issue_19_As_of_March_2014)%2025-06-1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%2020%20PRSP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AKRSP%20Outreach%20Issue%2018th%20%20(June%202013)%2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GBTI%20Outreach_Issue_21%20(March%20%202014)%2019%20June%2020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Fazal%20Data%20on%20180214/0%20RSPN%20Folder/RSPN%20Core%20Programme/Work%20Plan%20(2013-14)/RKM/Outreach%20Issue%2020/Outreach_Issue_20%20(December%202013)%20RKM%20Version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RSO%20Outreach_Issue_21%20(March%20%202014)%2018-6-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zal%20Docs\0%20RSPN%20Folder\RSPN%20Core%20Programme\Work%20Plan%20(2013-14)\RKM\Outreach%20Issue%2018\Outreach_Issue_18(June%202013)%20RKM%20Ver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(NRSP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(BRSP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RSP%20Outreach_Issue_21%20(March%202014)%2026%20June%20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SRSP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RSP%20Outreach_Issue_21%20(March%20%202014)%2018%20June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P2R6W2MC\Outreach_Issue_21%20(March%20%202014)%20SRSP%20send%20to%20RSPN%20after%20correction%20July%201%20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GBT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mber%202013%20TRD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RSP Districts "/>
      <sheetName val="2. Overall com progres Jun 11"/>
      <sheetName val="Figs for ppt"/>
      <sheetName val="Overall commulative progres (2)"/>
      <sheetName val="3. Top 10"/>
      <sheetName val="Graphs for presentation"/>
    </sheetNames>
    <sheetDataSet>
      <sheetData sheetId="0">
        <row r="212">
          <cell r="A212" t="str">
            <v xml:space="preserve">Number of districts/areas having RSPs presence  </v>
          </cell>
          <cell r="P212" t="str">
            <v>Number of total districts/areas in the province/area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3. Overall cum progressDec(ref)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81">
          <cell r="C81">
            <v>52</v>
          </cell>
        </row>
      </sheetData>
      <sheetData sheetId="2">
        <row r="7">
          <cell r="L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Dec-13"/>
      <sheetName val="3. Overallcomprogres June-13"/>
      <sheetName val="2. Overall cum progress March14"/>
    </sheetNames>
    <sheetDataSet>
      <sheetData sheetId="0"/>
      <sheetData sheetId="1">
        <row r="82">
          <cell r="D82">
            <v>37</v>
          </cell>
        </row>
      </sheetData>
      <sheetData sheetId="2">
        <row r="8">
          <cell r="J8">
            <v>32866</v>
          </cell>
        </row>
      </sheetData>
      <sheetData sheetId="3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</sheetNames>
    <sheetDataSet>
      <sheetData sheetId="0"/>
      <sheetData sheetId="1">
        <row r="112">
          <cell r="S112">
            <v>60</v>
          </cell>
        </row>
      </sheetData>
      <sheetData sheetId="2">
        <row r="7">
          <cell r="H7">
            <v>34</v>
          </cell>
        </row>
      </sheetData>
      <sheetData sheetId="3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</sheetNames>
    <sheetDataSet>
      <sheetData sheetId="0"/>
      <sheetData sheetId="1">
        <row r="112">
          <cell r="D112">
            <v>0</v>
          </cell>
        </row>
      </sheetData>
      <sheetData sheetId="2">
        <row r="8">
          <cell r="H8">
            <v>29691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3. Overall cum progressDec(ref)"/>
      <sheetName val="Cummulative Progress since 82"/>
      <sheetName val="graphs"/>
      <sheetName val="Value in dollars "/>
      <sheetName val="Exchange rates"/>
      <sheetName val="2. Overall com progres June 13"/>
    </sheetNames>
    <sheetDataSet>
      <sheetData sheetId="0" refreshError="1"/>
      <sheetData sheetId="1"/>
      <sheetData sheetId="2">
        <row r="7">
          <cell r="F7">
            <v>16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Dec"/>
      <sheetName val="2. Overall cum progress Sept 13"/>
      <sheetName val="Cummulative Progress since 82"/>
      <sheetName val="graphs"/>
      <sheetName val="Value in dollars "/>
      <sheetName val="Exchange rates"/>
      <sheetName val="2. Overall com progres June 1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4">
          <cell r="AG4">
            <v>693.13645306914987</v>
          </cell>
        </row>
      </sheetData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3. Overall cum progressDec(ref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/>
      <sheetData sheetId="2">
        <row r="7">
          <cell r="J7">
            <v>125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Dec-13"/>
      <sheetName val="2. Overall com progres Sep-13"/>
      <sheetName val="3. Overallcomprogres June-13"/>
    </sheetNames>
    <sheetDataSet>
      <sheetData sheetId="0" refreshError="1"/>
      <sheetData sheetId="1" refreshError="1">
        <row r="3">
          <cell r="D3" t="str">
            <v># as at September 2013</v>
          </cell>
        </row>
        <row r="6">
          <cell r="D6">
            <v>12</v>
          </cell>
          <cell r="H6">
            <v>722</v>
          </cell>
        </row>
        <row r="10">
          <cell r="D10">
            <v>8</v>
          </cell>
          <cell r="H10">
            <v>118</v>
          </cell>
          <cell r="K10">
            <v>9890</v>
          </cell>
        </row>
        <row r="15">
          <cell r="D15">
            <v>13</v>
          </cell>
          <cell r="H15">
            <v>144</v>
          </cell>
        </row>
        <row r="20">
          <cell r="D20">
            <v>38</v>
          </cell>
          <cell r="H20">
            <v>357</v>
          </cell>
        </row>
        <row r="26">
          <cell r="D26">
            <v>0</v>
          </cell>
          <cell r="H26">
            <v>288</v>
          </cell>
        </row>
        <row r="32">
          <cell r="D32">
            <v>16</v>
          </cell>
          <cell r="H32">
            <v>117</v>
          </cell>
          <cell r="K32">
            <v>16949</v>
          </cell>
        </row>
        <row r="46">
          <cell r="D46">
            <v>5</v>
          </cell>
          <cell r="H46">
            <v>167</v>
          </cell>
        </row>
        <row r="48">
          <cell r="D48">
            <v>28</v>
          </cell>
          <cell r="H48">
            <v>226</v>
          </cell>
        </row>
        <row r="58">
          <cell r="D58">
            <v>2</v>
          </cell>
          <cell r="H58">
            <v>16</v>
          </cell>
        </row>
        <row r="63">
          <cell r="D63">
            <v>25</v>
          </cell>
          <cell r="H63">
            <v>193</v>
          </cell>
        </row>
        <row r="66">
          <cell r="D66">
            <v>63</v>
          </cell>
          <cell r="H66">
            <v>187</v>
          </cell>
        </row>
        <row r="69">
          <cell r="D69">
            <v>13</v>
          </cell>
          <cell r="H69">
            <v>176</v>
          </cell>
        </row>
        <row r="73">
          <cell r="D73">
            <v>38</v>
          </cell>
          <cell r="H73">
            <v>179</v>
          </cell>
        </row>
        <row r="74">
          <cell r="D74">
            <v>19</v>
          </cell>
          <cell r="H74">
            <v>224</v>
          </cell>
        </row>
        <row r="80">
          <cell r="D80">
            <v>46</v>
          </cell>
          <cell r="H80">
            <v>349</v>
          </cell>
        </row>
        <row r="83">
          <cell r="D83">
            <v>20</v>
          </cell>
          <cell r="H83">
            <v>121</v>
          </cell>
        </row>
        <row r="90">
          <cell r="D90">
            <v>15</v>
          </cell>
          <cell r="H90">
            <v>21</v>
          </cell>
        </row>
        <row r="91">
          <cell r="D91">
            <v>41</v>
          </cell>
          <cell r="H91">
            <v>329</v>
          </cell>
        </row>
        <row r="93">
          <cell r="D93">
            <v>27</v>
          </cell>
          <cell r="H93">
            <v>54</v>
          </cell>
        </row>
        <row r="98">
          <cell r="D98">
            <v>12</v>
          </cell>
          <cell r="H98">
            <v>19</v>
          </cell>
        </row>
        <row r="99">
          <cell r="D99">
            <v>13</v>
          </cell>
          <cell r="H99">
            <v>66</v>
          </cell>
        </row>
        <row r="101">
          <cell r="D101">
            <v>52</v>
          </cell>
          <cell r="H101">
            <v>298</v>
          </cell>
        </row>
        <row r="107">
          <cell r="D107">
            <v>64</v>
          </cell>
          <cell r="H107">
            <v>454</v>
          </cell>
        </row>
        <row r="108">
          <cell r="D108">
            <v>101</v>
          </cell>
          <cell r="H108">
            <v>869</v>
          </cell>
        </row>
        <row r="109">
          <cell r="D109">
            <v>97</v>
          </cell>
          <cell r="H109">
            <v>609</v>
          </cell>
        </row>
        <row r="110">
          <cell r="D110">
            <v>40</v>
          </cell>
          <cell r="H110">
            <v>530</v>
          </cell>
        </row>
        <row r="111">
          <cell r="D111">
            <v>60</v>
          </cell>
          <cell r="H111">
            <v>418</v>
          </cell>
        </row>
        <row r="113">
          <cell r="D113">
            <v>50</v>
          </cell>
          <cell r="H113">
            <v>492</v>
          </cell>
        </row>
        <row r="121">
          <cell r="D121">
            <v>35</v>
          </cell>
          <cell r="H121">
            <v>637</v>
          </cell>
        </row>
        <row r="124">
          <cell r="D124">
            <v>70</v>
          </cell>
          <cell r="H124">
            <v>305</v>
          </cell>
        </row>
        <row r="125">
          <cell r="D125">
            <v>45</v>
          </cell>
          <cell r="H125">
            <v>329</v>
          </cell>
        </row>
        <row r="128">
          <cell r="D128">
            <v>70</v>
          </cell>
          <cell r="H128">
            <v>386</v>
          </cell>
        </row>
        <row r="131">
          <cell r="D131">
            <v>9</v>
          </cell>
          <cell r="H131">
            <v>21</v>
          </cell>
        </row>
        <row r="132">
          <cell r="D132">
            <v>56</v>
          </cell>
          <cell r="H132">
            <v>228</v>
          </cell>
        </row>
        <row r="134">
          <cell r="D134">
            <v>58</v>
          </cell>
          <cell r="H134">
            <v>169</v>
          </cell>
        </row>
        <row r="136">
          <cell r="D136">
            <v>24</v>
          </cell>
          <cell r="H136">
            <v>0</v>
          </cell>
        </row>
        <row r="141">
          <cell r="D141">
            <v>54</v>
          </cell>
          <cell r="H141">
            <v>291</v>
          </cell>
        </row>
        <row r="142">
          <cell r="D142">
            <v>103</v>
          </cell>
          <cell r="H142">
            <v>474</v>
          </cell>
        </row>
        <row r="143">
          <cell r="D143">
            <v>43</v>
          </cell>
          <cell r="H143">
            <v>373</v>
          </cell>
        </row>
        <row r="145">
          <cell r="D145">
            <v>58</v>
          </cell>
          <cell r="H145">
            <v>319</v>
          </cell>
        </row>
        <row r="147">
          <cell r="D147">
            <v>52</v>
          </cell>
          <cell r="H147">
            <v>218</v>
          </cell>
        </row>
        <row r="149">
          <cell r="D149">
            <v>116</v>
          </cell>
        </row>
        <row r="153">
          <cell r="D153">
            <v>61</v>
          </cell>
          <cell r="H153">
            <v>214</v>
          </cell>
        </row>
        <row r="154">
          <cell r="D154">
            <v>80</v>
          </cell>
          <cell r="H154">
            <v>528</v>
          </cell>
        </row>
        <row r="158">
          <cell r="D158">
            <v>19</v>
          </cell>
        </row>
        <row r="160">
          <cell r="D160">
            <v>5</v>
          </cell>
          <cell r="H160">
            <v>161</v>
          </cell>
        </row>
        <row r="162">
          <cell r="D162">
            <v>33</v>
          </cell>
        </row>
        <row r="164">
          <cell r="D164">
            <v>18</v>
          </cell>
          <cell r="H164">
            <v>415</v>
          </cell>
        </row>
        <row r="166">
          <cell r="D166">
            <v>9</v>
          </cell>
          <cell r="H166">
            <v>85</v>
          </cell>
        </row>
        <row r="171">
          <cell r="D171">
            <v>13</v>
          </cell>
          <cell r="H171">
            <v>25</v>
          </cell>
        </row>
        <row r="173">
          <cell r="D173">
            <v>8</v>
          </cell>
          <cell r="H173">
            <v>88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/>
      <sheetData sheetId="1">
        <row r="12">
          <cell r="D12">
            <v>1</v>
          </cell>
        </row>
      </sheetData>
      <sheetData sheetId="2">
        <row r="8">
          <cell r="E8">
            <v>3471</v>
          </cell>
        </row>
      </sheetData>
      <sheetData sheetId="3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12">
          <cell r="L12">
            <v>2434</v>
          </cell>
        </row>
      </sheetData>
      <sheetData sheetId="2">
        <row r="7">
          <cell r="E7">
            <v>44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Outreach as of Dec 2013"/>
      <sheetName val="1.RSP Districts "/>
      <sheetName val="2. Overall com progres Sep-13"/>
      <sheetName val="3. Overallcomprogres June-13"/>
      <sheetName val="2. Overall cum progress March14"/>
    </sheetNames>
    <sheetDataSet>
      <sheetData sheetId="0"/>
      <sheetData sheetId="1"/>
      <sheetData sheetId="2">
        <row r="43">
          <cell r="D43">
            <v>51</v>
          </cell>
        </row>
      </sheetData>
      <sheetData sheetId="3">
        <row r="8">
          <cell r="K8">
            <v>9497</v>
          </cell>
        </row>
      </sheetData>
      <sheetData sheetId="4"/>
      <sheetData sheetId="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3. Overall cum progressDec(ref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43">
          <cell r="I43">
            <v>189</v>
          </cell>
        </row>
      </sheetData>
      <sheetData sheetId="2">
        <row r="7">
          <cell r="K7">
            <v>77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3. Overall cum progressDec(ref)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43">
          <cell r="P43">
            <v>2017</v>
          </cell>
        </row>
      </sheetData>
      <sheetData sheetId="2">
        <row r="8">
          <cell r="K8">
            <v>9848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/>
      <sheetData sheetId="1">
        <row r="56">
          <cell r="D56">
            <v>4</v>
          </cell>
        </row>
      </sheetData>
      <sheetData sheetId="2">
        <row r="8">
          <cell r="F8">
            <v>1690</v>
          </cell>
        </row>
      </sheetData>
      <sheetData sheetId="3"/>
      <sheetData sheetId="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Dec. 13"/>
      <sheetName val="3. Overallcomprogres June-13"/>
    </sheetNames>
    <sheetDataSet>
      <sheetData sheetId="0"/>
      <sheetData sheetId="1">
        <row r="81">
          <cell r="D81">
            <v>30</v>
          </cell>
        </row>
      </sheetData>
      <sheetData sheetId="2">
        <row r="8">
          <cell r="L8">
            <v>8643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37"/>
  <sheetViews>
    <sheetView topLeftCell="A29" zoomScale="90" zoomScaleNormal="90" workbookViewId="0">
      <selection activeCell="C47" sqref="C47"/>
    </sheetView>
  </sheetViews>
  <sheetFormatPr defaultRowHeight="12.75"/>
  <cols>
    <col min="1" max="1" width="58.7109375" customWidth="1"/>
    <col min="2" max="2" width="51.42578125" customWidth="1"/>
    <col min="3" max="3" width="48.28515625" customWidth="1"/>
    <col min="4" max="4" width="33.5703125" bestFit="1" customWidth="1"/>
  </cols>
  <sheetData>
    <row r="2" spans="1:3" ht="13.5" thickBot="1"/>
    <row r="3" spans="1:3">
      <c r="A3" s="96" t="s">
        <v>203</v>
      </c>
      <c r="B3" s="121" t="str">
        <f>'[1]1.RSP Districts '!P212</f>
        <v>Number of total districts/areas in the province/area</v>
      </c>
      <c r="C3" s="121" t="str">
        <f>'[1]1.RSP Districts '!A212</f>
        <v xml:space="preserve">Number of districts/areas having RSPs presence  </v>
      </c>
    </row>
    <row r="4" spans="1:3">
      <c r="A4" s="32" t="s">
        <v>161</v>
      </c>
      <c r="B4" s="121">
        <f>'1.RSP Districts '!R223</f>
        <v>30</v>
      </c>
      <c r="C4" s="121">
        <f>'1.RSP Districts '!A223</f>
        <v>19</v>
      </c>
    </row>
    <row r="5" spans="1:3">
      <c r="A5" s="32" t="s">
        <v>209</v>
      </c>
      <c r="B5" s="121">
        <f>'1.RSP Districts '!R224</f>
        <v>24</v>
      </c>
      <c r="C5" s="121">
        <f>'1.RSP Districts '!A224</f>
        <v>21</v>
      </c>
    </row>
    <row r="6" spans="1:3">
      <c r="A6" s="32" t="s">
        <v>162</v>
      </c>
      <c r="B6" s="121">
        <f>'1.RSP Districts '!R225</f>
        <v>23</v>
      </c>
      <c r="C6" s="121">
        <f>'1.RSP Districts '!A225</f>
        <v>22</v>
      </c>
    </row>
    <row r="7" spans="1:3">
      <c r="A7" s="32" t="s">
        <v>230</v>
      </c>
      <c r="B7" s="121">
        <f>'1.RSP Districts '!R226+'1.RSP Districts '!R222</f>
        <v>37</v>
      </c>
      <c r="C7" s="121">
        <f>'1.RSP Districts '!A226+'1.RSP Districts '!A222</f>
        <v>37</v>
      </c>
    </row>
    <row r="8" spans="1:3">
      <c r="A8" s="32" t="s">
        <v>273</v>
      </c>
      <c r="B8" s="121">
        <f>'1.RSP Districts '!R227</f>
        <v>10</v>
      </c>
      <c r="C8" s="121">
        <f>'1.RSP Districts '!A227</f>
        <v>10</v>
      </c>
    </row>
    <row r="9" spans="1:3">
      <c r="A9" s="32" t="s">
        <v>210</v>
      </c>
      <c r="B9" s="121">
        <f>'1.RSP Districts '!R228</f>
        <v>7</v>
      </c>
      <c r="C9" s="121">
        <f>'1.RSP Districts '!A228</f>
        <v>6</v>
      </c>
    </row>
    <row r="10" spans="1:3">
      <c r="A10" s="32" t="s">
        <v>296</v>
      </c>
      <c r="B10" s="121">
        <f>'1.RSP Districts '!R229</f>
        <v>13</v>
      </c>
      <c r="C10" s="121">
        <f>'1.RSP Districts '!A229</f>
        <v>5</v>
      </c>
    </row>
    <row r="11" spans="1:3">
      <c r="A11" s="122" t="s">
        <v>231</v>
      </c>
      <c r="B11">
        <f>SUM(B4:B10)</f>
        <v>144</v>
      </c>
      <c r="C11">
        <f>SUM(C4:C10)</f>
        <v>120</v>
      </c>
    </row>
    <row r="15" spans="1:3">
      <c r="A15" s="121" t="s">
        <v>203</v>
      </c>
      <c r="B15" s="121" t="s">
        <v>232</v>
      </c>
      <c r="C15" s="121" t="s">
        <v>233</v>
      </c>
    </row>
    <row r="16" spans="1:3">
      <c r="A16" s="121" t="s">
        <v>161</v>
      </c>
      <c r="B16" s="121">
        <f>'1.RSP Districts '!C223</f>
        <v>547</v>
      </c>
      <c r="C16" s="121">
        <f>'1.RSP Districts '!E223</f>
        <v>284</v>
      </c>
    </row>
    <row r="17" spans="1:4">
      <c r="A17" s="121" t="s">
        <v>209</v>
      </c>
      <c r="B17" s="121">
        <f>'1.RSP Districts '!C224</f>
        <v>964</v>
      </c>
      <c r="C17" s="121">
        <f>'1.RSP Districts '!E224</f>
        <v>559</v>
      </c>
    </row>
    <row r="18" spans="1:4">
      <c r="A18" s="121" t="s">
        <v>162</v>
      </c>
      <c r="B18" s="121">
        <f>'1.RSP Districts '!C225</f>
        <v>921</v>
      </c>
      <c r="C18" s="121">
        <f>'1.RSP Districts '!E225</f>
        <v>690</v>
      </c>
    </row>
    <row r="19" spans="1:4">
      <c r="A19" s="121" t="s">
        <v>230</v>
      </c>
      <c r="B19" s="121">
        <f>'1.RSP Districts '!C226+'1.RSP Districts '!C222</f>
        <v>2647</v>
      </c>
      <c r="C19" s="121">
        <f>'1.RSP Districts '!E226+'1.RSP Districts '!E222</f>
        <v>1794</v>
      </c>
    </row>
    <row r="20" spans="1:4">
      <c r="A20" s="121" t="s">
        <v>273</v>
      </c>
      <c r="B20" s="121">
        <f>'1.RSP Districts '!C227</f>
        <v>196</v>
      </c>
      <c r="C20" s="121">
        <f>'1.RSP Districts '!E227</f>
        <v>180</v>
      </c>
    </row>
    <row r="21" spans="1:4">
      <c r="A21" s="121" t="s">
        <v>210</v>
      </c>
      <c r="B21" s="121">
        <f>'1.RSP Districts '!C228</f>
        <v>103</v>
      </c>
      <c r="C21" s="121">
        <f>'1.RSP Districts '!E228</f>
        <v>94</v>
      </c>
    </row>
    <row r="22" spans="1:4">
      <c r="A22" s="121" t="s">
        <v>296</v>
      </c>
      <c r="B22" s="121">
        <f>'1.RSP Districts '!C229</f>
        <v>190</v>
      </c>
      <c r="C22" s="121">
        <f>'1.RSP Districts '!E229</f>
        <v>15</v>
      </c>
    </row>
    <row r="23" spans="1:4">
      <c r="A23" s="121" t="s">
        <v>204</v>
      </c>
      <c r="B23" s="121">
        <f>SUM(B16:B22)</f>
        <v>5568</v>
      </c>
      <c r="C23" s="121">
        <f>SUM(C16:C22)</f>
        <v>3616</v>
      </c>
    </row>
    <row r="24" spans="1:4" ht="13.5" thickBot="1">
      <c r="C24" s="158">
        <f>C23/B23%</f>
        <v>64.94252873563218</v>
      </c>
    </row>
    <row r="25" spans="1:4">
      <c r="B25" s="123"/>
    </row>
    <row r="26" spans="1:4">
      <c r="B26" s="124"/>
    </row>
    <row r="27" spans="1:4" ht="12.75" customHeight="1">
      <c r="A27" s="125" t="s">
        <v>203</v>
      </c>
      <c r="B27" s="121" t="s">
        <v>244</v>
      </c>
      <c r="C27" s="121" t="s">
        <v>234</v>
      </c>
      <c r="D27" s="121" t="s">
        <v>243</v>
      </c>
    </row>
    <row r="28" spans="1:4">
      <c r="A28" s="32" t="s">
        <v>161</v>
      </c>
      <c r="B28" s="126">
        <f>D28/C28%</f>
        <v>35.949549921332952</v>
      </c>
      <c r="C28" s="127">
        <f>'1.RSP Districts '!J223</f>
        <v>814191</v>
      </c>
      <c r="D28" s="127">
        <f>'1.RSP Districts '!L223</f>
        <v>292698</v>
      </c>
    </row>
    <row r="29" spans="1:4">
      <c r="A29" s="32" t="s">
        <v>209</v>
      </c>
      <c r="B29" s="126">
        <f t="shared" ref="B29:B35" si="0">D29/C29%</f>
        <v>48.778033169938787</v>
      </c>
      <c r="C29" s="127">
        <f>'1.RSP Districts '!J224</f>
        <v>1889904</v>
      </c>
      <c r="D29" s="127">
        <f>'1.RSP Districts '!L224</f>
        <v>921858</v>
      </c>
    </row>
    <row r="30" spans="1:4">
      <c r="A30" s="32" t="s">
        <v>162</v>
      </c>
      <c r="B30" s="126">
        <f t="shared" si="0"/>
        <v>42.011774891004237</v>
      </c>
      <c r="C30" s="127">
        <f>'1.RSP Districts '!J225</f>
        <v>2816903.1255411254</v>
      </c>
      <c r="D30" s="127">
        <f>'1.RSP Districts '!L225</f>
        <v>1183431</v>
      </c>
    </row>
    <row r="31" spans="1:4">
      <c r="A31" s="32" t="s">
        <v>230</v>
      </c>
      <c r="B31" s="126">
        <f t="shared" si="0"/>
        <v>47.755579694297687</v>
      </c>
      <c r="C31" s="127">
        <f>'1.RSP Districts '!J226+'1.RSP Districts '!J222</f>
        <v>6107707.2431565113</v>
      </c>
      <c r="D31" s="127">
        <f>'1.RSP Districts '!L226+'1.RSP Districts '!L222</f>
        <v>2916771</v>
      </c>
    </row>
    <row r="32" spans="1:4">
      <c r="A32" s="32" t="s">
        <v>273</v>
      </c>
      <c r="B32" s="126">
        <f t="shared" si="0"/>
        <v>71.350539775930088</v>
      </c>
      <c r="C32" s="127">
        <f>'1.RSP Districts '!J227</f>
        <v>398969.65165781637</v>
      </c>
      <c r="D32" s="127">
        <f>'1.RSP Districts '!L227</f>
        <v>284667</v>
      </c>
    </row>
    <row r="33" spans="1:5">
      <c r="A33" s="32" t="s">
        <v>210</v>
      </c>
      <c r="B33" s="126">
        <f t="shared" si="0"/>
        <v>69.747920669136846</v>
      </c>
      <c r="C33" s="127">
        <f>'1.RSP Districts '!J228</f>
        <v>108649.83396348439</v>
      </c>
      <c r="D33" s="127">
        <f>'1.RSP Districts '!L228</f>
        <v>75781</v>
      </c>
    </row>
    <row r="34" spans="1:5">
      <c r="A34" s="32" t="s">
        <v>296</v>
      </c>
      <c r="B34" s="126">
        <f t="shared" si="0"/>
        <v>2.7237040252572937</v>
      </c>
      <c r="C34" s="127">
        <f>'1.RSP Districts '!J229</f>
        <v>343649.6738707067</v>
      </c>
      <c r="D34" s="127">
        <f>'1.RSP Districts '!L229</f>
        <v>9360</v>
      </c>
    </row>
    <row r="35" spans="1:5">
      <c r="A35" s="128" t="s">
        <v>16</v>
      </c>
      <c r="B35" s="126">
        <f t="shared" si="0"/>
        <v>45.549500018287368</v>
      </c>
      <c r="C35" s="127">
        <f>SUM(C28:C34)</f>
        <v>12479974.528189642</v>
      </c>
      <c r="D35" s="127">
        <f>SUM(D28:D34)</f>
        <v>5684566</v>
      </c>
      <c r="E35" s="98">
        <f>D35/1000000</f>
        <v>5.6845660000000002</v>
      </c>
    </row>
    <row r="36" spans="1:5">
      <c r="D36" s="98">
        <f>D35*6.5</f>
        <v>36949679</v>
      </c>
    </row>
    <row r="37" spans="1:5">
      <c r="D37" s="158">
        <f>D36/1000000</f>
        <v>36.949679000000003</v>
      </c>
    </row>
  </sheetData>
  <phoneticPr fontId="3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W261"/>
  <sheetViews>
    <sheetView tabSelected="1" view="pageBreakPreview" zoomScale="73" zoomScaleNormal="87" zoomScaleSheetLayoutView="73" workbookViewId="0">
      <pane xSplit="2" ySplit="3" topLeftCell="J184" activePane="bottomRight" state="frozen"/>
      <selection activeCell="G51" sqref="G51"/>
      <selection pane="topRight" activeCell="G51" sqref="G51"/>
      <selection pane="bottomLeft" activeCell="G51" sqref="G51"/>
      <selection pane="bottomRight" activeCell="P205" sqref="P205"/>
    </sheetView>
  </sheetViews>
  <sheetFormatPr defaultRowHeight="15"/>
  <cols>
    <col min="1" max="1" width="6.42578125" style="2" customWidth="1"/>
    <col min="2" max="2" width="28.85546875" style="1" bestFit="1" customWidth="1"/>
    <col min="3" max="3" width="17.7109375" style="3" bestFit="1" customWidth="1"/>
    <col min="4" max="5" width="15.5703125" style="3" customWidth="1"/>
    <col min="6" max="6" width="17.7109375" style="3" customWidth="1"/>
    <col min="7" max="7" width="15.5703125" style="3" customWidth="1"/>
    <col min="8" max="9" width="15.5703125" style="137" customWidth="1"/>
    <col min="10" max="10" width="20.85546875" style="11" customWidth="1"/>
    <col min="11" max="14" width="15.5703125" style="9" customWidth="1"/>
    <col min="15" max="17" width="15.5703125" style="11" customWidth="1"/>
    <col min="18" max="18" width="13" style="3" bestFit="1" customWidth="1"/>
    <col min="19" max="16384" width="9.140625" style="1"/>
  </cols>
  <sheetData>
    <row r="1" spans="1:23" thickBot="1">
      <c r="A1" s="249" t="s">
        <v>312</v>
      </c>
      <c r="B1" s="249"/>
      <c r="C1" s="249"/>
      <c r="D1" s="249"/>
      <c r="E1" s="249"/>
      <c r="F1" s="249"/>
      <c r="G1" s="249"/>
      <c r="H1" s="250"/>
      <c r="I1" s="250"/>
      <c r="J1" s="249"/>
      <c r="K1" s="249"/>
      <c r="L1" s="249"/>
      <c r="M1" s="249"/>
      <c r="N1" s="249"/>
      <c r="O1" s="249"/>
      <c r="P1" s="249"/>
      <c r="Q1" s="249"/>
      <c r="R1" s="249"/>
    </row>
    <row r="2" spans="1:23" ht="53.25" customHeight="1">
      <c r="A2" s="251" t="s">
        <v>27</v>
      </c>
      <c r="B2" s="253" t="s">
        <v>28</v>
      </c>
      <c r="C2" s="253" t="s">
        <v>199</v>
      </c>
      <c r="D2" s="245" t="s">
        <v>240</v>
      </c>
      <c r="E2" s="245"/>
      <c r="F2" s="245"/>
      <c r="G2" s="246"/>
      <c r="H2" s="247" t="s">
        <v>275</v>
      </c>
      <c r="I2" s="257" t="s">
        <v>315</v>
      </c>
      <c r="J2" s="253" t="s">
        <v>30</v>
      </c>
      <c r="K2" s="245" t="s">
        <v>241</v>
      </c>
      <c r="L2" s="245"/>
      <c r="M2" s="245"/>
      <c r="N2" s="246"/>
      <c r="O2" s="253" t="s">
        <v>276</v>
      </c>
      <c r="P2" s="253"/>
      <c r="Q2" s="253"/>
      <c r="R2" s="255" t="s">
        <v>29</v>
      </c>
    </row>
    <row r="3" spans="1:23" ht="49.5" customHeight="1" thickBot="1">
      <c r="A3" s="252"/>
      <c r="B3" s="254"/>
      <c r="C3" s="254"/>
      <c r="D3" s="87" t="s">
        <v>274</v>
      </c>
      <c r="E3" s="133" t="s">
        <v>313</v>
      </c>
      <c r="F3" s="87" t="s">
        <v>219</v>
      </c>
      <c r="G3" s="87" t="s">
        <v>314</v>
      </c>
      <c r="H3" s="248"/>
      <c r="I3" s="258"/>
      <c r="J3" s="254"/>
      <c r="K3" s="87" t="s">
        <v>274</v>
      </c>
      <c r="L3" s="133" t="s">
        <v>313</v>
      </c>
      <c r="M3" s="87" t="s">
        <v>219</v>
      </c>
      <c r="N3" s="87" t="s">
        <v>314</v>
      </c>
      <c r="O3" s="87" t="s">
        <v>274</v>
      </c>
      <c r="P3" s="133" t="s">
        <v>313</v>
      </c>
      <c r="Q3" s="87" t="s">
        <v>219</v>
      </c>
      <c r="R3" s="256"/>
      <c r="S3" s="1">
        <v>1</v>
      </c>
    </row>
    <row r="4" spans="1:23" ht="6.75" customHeight="1" thickBot="1">
      <c r="A4" s="12"/>
      <c r="B4" s="13"/>
      <c r="C4" s="14"/>
      <c r="D4" s="14"/>
      <c r="E4" s="14"/>
      <c r="F4" s="14"/>
      <c r="G4" s="14"/>
      <c r="H4" s="14"/>
      <c r="I4" s="14"/>
      <c r="J4" s="15"/>
      <c r="K4" s="16"/>
      <c r="L4" s="16"/>
      <c r="M4" s="16"/>
      <c r="N4" s="16"/>
      <c r="O4" s="15"/>
      <c r="P4" s="15"/>
      <c r="Q4" s="15"/>
      <c r="R4" s="14"/>
      <c r="S4" s="1">
        <v>1</v>
      </c>
    </row>
    <row r="5" spans="1:23" ht="21.75" customHeight="1">
      <c r="A5" s="17" t="s">
        <v>31</v>
      </c>
      <c r="B5" s="18"/>
      <c r="C5" s="19"/>
      <c r="D5" s="19"/>
      <c r="E5" s="19"/>
      <c r="F5" s="19"/>
      <c r="G5" s="19"/>
      <c r="H5" s="19"/>
      <c r="I5" s="19"/>
      <c r="J5" s="19"/>
      <c r="K5" s="20"/>
      <c r="L5" s="20"/>
      <c r="M5" s="20"/>
      <c r="N5" s="20"/>
      <c r="O5" s="19"/>
      <c r="P5" s="19"/>
      <c r="Q5" s="19"/>
      <c r="R5" s="21"/>
      <c r="S5" s="1">
        <v>1</v>
      </c>
    </row>
    <row r="6" spans="1:23" thickBot="1">
      <c r="A6" s="36">
        <v>1</v>
      </c>
      <c r="B6" s="37" t="s">
        <v>32</v>
      </c>
      <c r="C6" s="38">
        <v>12</v>
      </c>
      <c r="D6" s="38">
        <f>'[2]1.RSP Districts '!D6</f>
        <v>12</v>
      </c>
      <c r="E6" s="38">
        <f>'[3]1.RSP Districts '!E6</f>
        <v>12</v>
      </c>
      <c r="F6" s="134">
        <f>(E6-D6)/D6%</f>
        <v>0</v>
      </c>
      <c r="G6" s="134">
        <f>E6/C6%</f>
        <v>100</v>
      </c>
      <c r="H6" s="38">
        <f>'[2]1.RSP Districts '!H6</f>
        <v>722</v>
      </c>
      <c r="I6" s="38">
        <f>'[3]1.RSP Districts '!I6</f>
        <v>722</v>
      </c>
      <c r="J6" s="38">
        <v>43884</v>
      </c>
      <c r="K6" s="38">
        <v>26254</v>
      </c>
      <c r="L6" s="38">
        <f>'[3]1.RSP Districts '!L6</f>
        <v>26328</v>
      </c>
      <c r="M6" s="134">
        <f>(L6-K6)/K6%</f>
        <v>0.28186181153348061</v>
      </c>
      <c r="N6" s="134">
        <f>L6/J6%</f>
        <v>59.994531036368613</v>
      </c>
      <c r="O6" s="38">
        <v>1597</v>
      </c>
      <c r="P6" s="38">
        <f>'[3]1.RSP Districts '!P6</f>
        <v>1601</v>
      </c>
      <c r="Q6" s="134">
        <f>(P6-O6)/O6%</f>
        <v>0.25046963055729493</v>
      </c>
      <c r="R6" s="155" t="s">
        <v>5</v>
      </c>
      <c r="S6" s="1">
        <v>1</v>
      </c>
      <c r="W6" s="225">
        <f>I6-'[3]1.RSP Districts '!I6</f>
        <v>722</v>
      </c>
    </row>
    <row r="7" spans="1:23" s="4" customFormat="1" ht="15.75" thickBot="1">
      <c r="A7" s="152">
        <f>A6</f>
        <v>1</v>
      </c>
      <c r="B7" s="154" t="s">
        <v>33</v>
      </c>
      <c r="C7" s="56">
        <f>C6</f>
        <v>12</v>
      </c>
      <c r="D7" s="56">
        <f>D6</f>
        <v>12</v>
      </c>
      <c r="E7" s="56">
        <f>E6</f>
        <v>12</v>
      </c>
      <c r="F7" s="151">
        <f>(E7-D7)/D7%</f>
        <v>0</v>
      </c>
      <c r="G7" s="151">
        <f>E7/C7%</f>
        <v>100</v>
      </c>
      <c r="H7" s="151">
        <f>H6</f>
        <v>722</v>
      </c>
      <c r="I7" s="151">
        <f>I6</f>
        <v>722</v>
      </c>
      <c r="J7" s="56">
        <f>J6</f>
        <v>43884</v>
      </c>
      <c r="K7" s="56">
        <f>K6</f>
        <v>26254</v>
      </c>
      <c r="L7" s="56">
        <f>L6</f>
        <v>26328</v>
      </c>
      <c r="M7" s="151">
        <f>(L7-K7)/K7%</f>
        <v>0.28186181153348061</v>
      </c>
      <c r="N7" s="151">
        <f>L7/J7%</f>
        <v>59.994531036368613</v>
      </c>
      <c r="O7" s="56">
        <f>O6</f>
        <v>1597</v>
      </c>
      <c r="P7" s="56">
        <f>P6</f>
        <v>1601</v>
      </c>
      <c r="Q7" s="151">
        <f>(P7-O7)/O7%</f>
        <v>0.25046963055729493</v>
      </c>
      <c r="R7" s="153"/>
      <c r="S7" s="1">
        <v>1</v>
      </c>
    </row>
    <row r="8" spans="1:23" ht="4.5" customHeight="1" thickBot="1">
      <c r="A8" s="12"/>
      <c r="B8" s="13"/>
      <c r="C8" s="58"/>
      <c r="D8" s="27"/>
      <c r="E8" s="27"/>
      <c r="F8" s="103"/>
      <c r="G8" s="103"/>
      <c r="H8" s="103"/>
      <c r="I8" s="103"/>
      <c r="J8" s="58"/>
      <c r="K8" s="27"/>
      <c r="L8" s="27"/>
      <c r="M8" s="27"/>
      <c r="N8" s="27"/>
      <c r="O8" s="27"/>
      <c r="P8" s="27"/>
      <c r="Q8" s="27"/>
      <c r="R8" s="14"/>
      <c r="S8" s="1">
        <v>1</v>
      </c>
    </row>
    <row r="9" spans="1:23" ht="14.25">
      <c r="A9" s="17" t="s">
        <v>34</v>
      </c>
      <c r="B9" s="18"/>
      <c r="C9" s="19"/>
      <c r="D9" s="28"/>
      <c r="E9" s="28"/>
      <c r="F9" s="104"/>
      <c r="G9" s="104"/>
      <c r="H9" s="104"/>
      <c r="I9" s="104"/>
      <c r="J9" s="19"/>
      <c r="K9" s="28"/>
      <c r="L9" s="28"/>
      <c r="M9" s="28"/>
      <c r="N9" s="28"/>
      <c r="O9" s="28"/>
      <c r="P9" s="28"/>
      <c r="Q9" s="28"/>
      <c r="R9" s="21"/>
      <c r="S9" s="1">
        <v>1</v>
      </c>
    </row>
    <row r="10" spans="1:23" ht="14.25">
      <c r="A10" s="22">
        <v>1</v>
      </c>
      <c r="B10" s="23" t="s">
        <v>35</v>
      </c>
      <c r="C10" s="24">
        <v>8</v>
      </c>
      <c r="D10" s="38">
        <f>'[2]1.RSP Districts '!D10</f>
        <v>8</v>
      </c>
      <c r="E10" s="38">
        <f>'[3]1.RSP Districts '!E10</f>
        <v>8</v>
      </c>
      <c r="F10" s="102">
        <f>(E10-D10)/D10%</f>
        <v>0</v>
      </c>
      <c r="G10" s="102">
        <f>E10/C10%</f>
        <v>100</v>
      </c>
      <c r="H10" s="38">
        <f>'[2]1.RSP Districts '!H10</f>
        <v>118</v>
      </c>
      <c r="I10" s="38">
        <f>'[3]1.RSP Districts '!I10</f>
        <v>118</v>
      </c>
      <c r="J10" s="24">
        <v>22144</v>
      </c>
      <c r="K10" s="38">
        <f>'[2]1.RSP Districts '!K10</f>
        <v>9890</v>
      </c>
      <c r="L10" s="38">
        <f>'[3]1.RSP Districts '!L10</f>
        <v>9890</v>
      </c>
      <c r="M10" s="102">
        <f>(L10-K10)/K10%</f>
        <v>0</v>
      </c>
      <c r="N10" s="102">
        <f t="shared" ref="N10:N40" si="0">L10/J10%</f>
        <v>44.662210982658962</v>
      </c>
      <c r="O10" s="38">
        <v>598</v>
      </c>
      <c r="P10" s="38">
        <f>'[3]1.RSP Districts '!P10</f>
        <v>598</v>
      </c>
      <c r="Q10" s="102">
        <f t="shared" ref="Q10:Q40" si="1">(P10-O10)/O10%</f>
        <v>0</v>
      </c>
      <c r="R10" s="26" t="s">
        <v>5</v>
      </c>
      <c r="S10" s="1">
        <v>1</v>
      </c>
      <c r="W10" s="225">
        <f>I10-'[3]1.RSP Districts '!I10</f>
        <v>118</v>
      </c>
    </row>
    <row r="11" spans="1:23" ht="14.25">
      <c r="A11" s="22">
        <v>2</v>
      </c>
      <c r="B11" s="23" t="s">
        <v>168</v>
      </c>
      <c r="C11" s="24">
        <v>8</v>
      </c>
      <c r="D11" s="38">
        <v>0</v>
      </c>
      <c r="E11" s="38">
        <v>0</v>
      </c>
      <c r="F11" s="102">
        <v>0</v>
      </c>
      <c r="G11" s="102">
        <f t="shared" ref="G11:G40" si="2">E11/C11%</f>
        <v>0</v>
      </c>
      <c r="H11" s="102"/>
      <c r="I11" s="102"/>
      <c r="J11" s="24">
        <v>13787</v>
      </c>
      <c r="K11" s="24"/>
      <c r="L11" s="24"/>
      <c r="M11" s="102" t="e">
        <f t="shared" ref="M11:M39" si="3">(L11-K11)/K11%</f>
        <v>#DIV/0!</v>
      </c>
      <c r="N11" s="102">
        <v>0</v>
      </c>
      <c r="O11" s="24"/>
      <c r="P11" s="25"/>
      <c r="Q11" s="102">
        <v>0</v>
      </c>
      <c r="R11" s="79">
        <v>0</v>
      </c>
      <c r="S11" s="1">
        <v>1</v>
      </c>
    </row>
    <row r="12" spans="1:23" ht="14.25">
      <c r="A12" s="22">
        <v>3</v>
      </c>
      <c r="B12" s="23" t="s">
        <v>36</v>
      </c>
      <c r="C12" s="24">
        <v>27</v>
      </c>
      <c r="D12" s="38">
        <f>'[4]1.RSP Districts '!D12</f>
        <v>1</v>
      </c>
      <c r="E12" s="38">
        <f>D12</f>
        <v>1</v>
      </c>
      <c r="F12" s="102">
        <f t="shared" ref="F12:F40" si="4">(E12-D12)/D12%</f>
        <v>0</v>
      </c>
      <c r="G12" s="102">
        <f t="shared" si="2"/>
        <v>3.7037037037037033</v>
      </c>
      <c r="H12" s="38">
        <f>'[4]1.RSP Districts '!H12</f>
        <v>6</v>
      </c>
      <c r="I12" s="38">
        <f>H12</f>
        <v>6</v>
      </c>
      <c r="J12" s="24">
        <v>35003</v>
      </c>
      <c r="K12" s="38">
        <f>'[4]1.RSP Districts '!K12</f>
        <v>2434</v>
      </c>
      <c r="L12" s="38">
        <f>'[5]1.RSP Districts '!L12</f>
        <v>2434</v>
      </c>
      <c r="M12" s="102">
        <f t="shared" si="3"/>
        <v>0</v>
      </c>
      <c r="N12" s="102">
        <f t="shared" si="0"/>
        <v>6.953689683741394</v>
      </c>
      <c r="O12" s="38">
        <v>109</v>
      </c>
      <c r="P12" s="38">
        <f>'[5]1.RSP Districts '!P12</f>
        <v>109</v>
      </c>
      <c r="Q12" s="102">
        <f t="shared" si="1"/>
        <v>0</v>
      </c>
      <c r="R12" s="26" t="s">
        <v>3</v>
      </c>
      <c r="S12" s="1">
        <v>1</v>
      </c>
    </row>
    <row r="13" spans="1:23" ht="14.25">
      <c r="A13" s="22">
        <v>4</v>
      </c>
      <c r="B13" s="23" t="s">
        <v>169</v>
      </c>
      <c r="C13" s="24">
        <v>10</v>
      </c>
      <c r="D13" s="38">
        <v>0</v>
      </c>
      <c r="E13" s="38"/>
      <c r="F13" s="102">
        <v>0</v>
      </c>
      <c r="G13" s="102">
        <f t="shared" si="2"/>
        <v>0</v>
      </c>
      <c r="H13" s="102"/>
      <c r="I13" s="102"/>
      <c r="J13" s="164">
        <v>13570</v>
      </c>
      <c r="K13" s="24"/>
      <c r="L13" s="24"/>
      <c r="M13" s="102" t="e">
        <f t="shared" si="3"/>
        <v>#DIV/0!</v>
      </c>
      <c r="N13" s="102">
        <v>0</v>
      </c>
      <c r="O13" s="24"/>
      <c r="P13" s="25"/>
      <c r="Q13" s="102">
        <v>0</v>
      </c>
      <c r="R13" s="79">
        <v>0</v>
      </c>
      <c r="S13" s="1">
        <v>1</v>
      </c>
    </row>
    <row r="14" spans="1:23" ht="14.25">
      <c r="A14" s="22">
        <v>5</v>
      </c>
      <c r="B14" s="23" t="s">
        <v>170</v>
      </c>
      <c r="C14" s="24">
        <v>12</v>
      </c>
      <c r="D14" s="38">
        <v>0</v>
      </c>
      <c r="E14" s="38"/>
      <c r="F14" s="102">
        <v>0</v>
      </c>
      <c r="G14" s="102">
        <f t="shared" si="2"/>
        <v>0</v>
      </c>
      <c r="H14" s="102"/>
      <c r="I14" s="102"/>
      <c r="J14" s="164">
        <v>27337</v>
      </c>
      <c r="K14" s="24"/>
      <c r="L14" s="24"/>
      <c r="M14" s="102" t="e">
        <f t="shared" si="3"/>
        <v>#DIV/0!</v>
      </c>
      <c r="N14" s="102">
        <v>0</v>
      </c>
      <c r="O14" s="24"/>
      <c r="P14" s="25"/>
      <c r="Q14" s="102">
        <v>0</v>
      </c>
      <c r="R14" s="79">
        <v>0</v>
      </c>
      <c r="S14" s="1">
        <v>1</v>
      </c>
    </row>
    <row r="15" spans="1:23" ht="14.25">
      <c r="A15" s="22">
        <v>6</v>
      </c>
      <c r="B15" s="23" t="s">
        <v>37</v>
      </c>
      <c r="C15" s="24">
        <v>13</v>
      </c>
      <c r="D15" s="38">
        <f>'[2]1.RSP Districts '!D15</f>
        <v>13</v>
      </c>
      <c r="E15" s="38">
        <v>13</v>
      </c>
      <c r="F15" s="102">
        <f t="shared" si="4"/>
        <v>0</v>
      </c>
      <c r="G15" s="102">
        <f t="shared" si="2"/>
        <v>100</v>
      </c>
      <c r="H15" s="38">
        <f>'[2]1.RSP Districts '!H15</f>
        <v>144</v>
      </c>
      <c r="I15" s="38">
        <v>144</v>
      </c>
      <c r="J15" s="24">
        <v>16691</v>
      </c>
      <c r="K15" s="38">
        <v>19324</v>
      </c>
      <c r="L15" s="38">
        <v>19324</v>
      </c>
      <c r="M15" s="102">
        <f t="shared" si="3"/>
        <v>0</v>
      </c>
      <c r="N15" s="102">
        <f t="shared" si="0"/>
        <v>115.77496854592296</v>
      </c>
      <c r="O15" s="38">
        <v>863</v>
      </c>
      <c r="P15" s="38">
        <v>863</v>
      </c>
      <c r="Q15" s="102">
        <f t="shared" si="1"/>
        <v>0</v>
      </c>
      <c r="R15" s="26" t="s">
        <v>5</v>
      </c>
      <c r="S15" s="1">
        <v>1</v>
      </c>
      <c r="W15" s="225">
        <f>I15-'[3]1.RSP Districts '!I15</f>
        <v>144</v>
      </c>
    </row>
    <row r="16" spans="1:23" ht="14.25">
      <c r="A16" s="22">
        <v>7</v>
      </c>
      <c r="B16" s="23" t="s">
        <v>171</v>
      </c>
      <c r="C16" s="24">
        <v>10</v>
      </c>
      <c r="D16" s="38">
        <v>0</v>
      </c>
      <c r="E16" s="38"/>
      <c r="F16" s="102">
        <v>0</v>
      </c>
      <c r="G16" s="102">
        <f t="shared" si="2"/>
        <v>0</v>
      </c>
      <c r="H16" s="102"/>
      <c r="I16" s="102"/>
      <c r="J16" s="24">
        <v>0</v>
      </c>
      <c r="K16" s="24"/>
      <c r="L16" s="24"/>
      <c r="M16" s="102" t="e">
        <f t="shared" si="3"/>
        <v>#DIV/0!</v>
      </c>
      <c r="N16" s="102">
        <v>0</v>
      </c>
      <c r="O16" s="24"/>
      <c r="P16" s="25"/>
      <c r="Q16" s="102">
        <v>0</v>
      </c>
      <c r="R16" s="79">
        <v>0</v>
      </c>
      <c r="S16" s="1">
        <v>1</v>
      </c>
    </row>
    <row r="17" spans="1:23" ht="14.25">
      <c r="A17" s="22">
        <v>8</v>
      </c>
      <c r="B17" s="23" t="s">
        <v>38</v>
      </c>
      <c r="C17" s="24">
        <v>9</v>
      </c>
      <c r="D17" s="38">
        <f>'[4]1.RSP Districts '!D17</f>
        <v>9</v>
      </c>
      <c r="E17" s="38">
        <f>D17</f>
        <v>9</v>
      </c>
      <c r="F17" s="102">
        <f t="shared" si="4"/>
        <v>0</v>
      </c>
      <c r="G17" s="102">
        <f t="shared" si="2"/>
        <v>100</v>
      </c>
      <c r="H17" s="38">
        <f>'[4]1.RSP Districts '!H17</f>
        <v>98</v>
      </c>
      <c r="I17" s="38">
        <f>H17</f>
        <v>98</v>
      </c>
      <c r="J17" s="24">
        <v>16184</v>
      </c>
      <c r="K17" s="38">
        <f>'[4]1.RSP Districts '!K17</f>
        <v>9708</v>
      </c>
      <c r="L17" s="38">
        <f>'[5]1.RSP Districts '!L17</f>
        <v>10938</v>
      </c>
      <c r="M17" s="102">
        <f t="shared" si="3"/>
        <v>12.669962917181707</v>
      </c>
      <c r="N17" s="102">
        <f t="shared" si="0"/>
        <v>67.585269401878392</v>
      </c>
      <c r="O17" s="38">
        <v>577</v>
      </c>
      <c r="P17" s="38">
        <f>'[5]1.RSP Districts '!P17</f>
        <v>659</v>
      </c>
      <c r="Q17" s="102">
        <f t="shared" si="1"/>
        <v>14.211438474870018</v>
      </c>
      <c r="R17" s="26" t="s">
        <v>3</v>
      </c>
      <c r="S17" s="1">
        <v>1</v>
      </c>
    </row>
    <row r="18" spans="1:23" ht="14.25">
      <c r="A18" s="22">
        <v>9</v>
      </c>
      <c r="B18" s="23" t="s">
        <v>39</v>
      </c>
      <c r="C18" s="24">
        <v>46</v>
      </c>
      <c r="D18" s="38">
        <f>'[4]1.RSP Districts '!D18</f>
        <v>29</v>
      </c>
      <c r="E18" s="38">
        <f>D18</f>
        <v>29</v>
      </c>
      <c r="F18" s="102">
        <f t="shared" si="4"/>
        <v>0</v>
      </c>
      <c r="G18" s="102">
        <f t="shared" si="2"/>
        <v>63.043478260869563</v>
      </c>
      <c r="H18" s="38">
        <f>'[4]1.RSP Districts '!H18</f>
        <v>41</v>
      </c>
      <c r="I18" s="38">
        <f>H18</f>
        <v>41</v>
      </c>
      <c r="J18" s="24">
        <v>52664</v>
      </c>
      <c r="K18" s="38">
        <f>'[4]1.RSP Districts '!K18</f>
        <v>8739</v>
      </c>
      <c r="L18" s="38">
        <f>'[5]1.RSP Districts '!L18</f>
        <v>8739</v>
      </c>
      <c r="M18" s="102">
        <f t="shared" si="3"/>
        <v>0</v>
      </c>
      <c r="N18" s="102">
        <f t="shared" si="0"/>
        <v>16.593878171046637</v>
      </c>
      <c r="O18" s="38">
        <v>163</v>
      </c>
      <c r="P18" s="38">
        <f>'[5]1.RSP Districts '!P18</f>
        <v>163</v>
      </c>
      <c r="Q18" s="102">
        <f t="shared" si="1"/>
        <v>0</v>
      </c>
      <c r="R18" s="26" t="s">
        <v>3</v>
      </c>
      <c r="S18" s="1">
        <v>1</v>
      </c>
    </row>
    <row r="19" spans="1:23" ht="14.25">
      <c r="A19" s="22">
        <v>10</v>
      </c>
      <c r="B19" s="23" t="s">
        <v>40</v>
      </c>
      <c r="C19" s="24">
        <v>18</v>
      </c>
      <c r="D19" s="38">
        <f>'[4]1.RSP Districts '!D19</f>
        <v>15</v>
      </c>
      <c r="E19" s="38">
        <f>D19</f>
        <v>15</v>
      </c>
      <c r="F19" s="102">
        <f t="shared" si="4"/>
        <v>0</v>
      </c>
      <c r="G19" s="102">
        <f t="shared" si="2"/>
        <v>83.333333333333343</v>
      </c>
      <c r="H19" s="38">
        <f>'[4]1.RSP Districts '!H19</f>
        <v>226</v>
      </c>
      <c r="I19" s="38">
        <f>H19</f>
        <v>226</v>
      </c>
      <c r="J19" s="24">
        <v>31396</v>
      </c>
      <c r="K19" s="38">
        <f>'[4]1.RSP Districts '!K19</f>
        <v>28829</v>
      </c>
      <c r="L19" s="38">
        <f>'[5]1.RSP Districts '!L19</f>
        <v>28829</v>
      </c>
      <c r="M19" s="102">
        <f t="shared" si="3"/>
        <v>0</v>
      </c>
      <c r="N19" s="102">
        <f t="shared" si="0"/>
        <v>91.823799210090456</v>
      </c>
      <c r="O19" s="38">
        <v>1870</v>
      </c>
      <c r="P19" s="38">
        <f>'[5]1.RSP Districts '!P19</f>
        <v>1870</v>
      </c>
      <c r="Q19" s="102">
        <f t="shared" si="1"/>
        <v>0</v>
      </c>
      <c r="R19" s="26" t="s">
        <v>3</v>
      </c>
      <c r="S19" s="1">
        <v>1</v>
      </c>
    </row>
    <row r="20" spans="1:23" ht="14.25">
      <c r="A20" s="22">
        <v>11</v>
      </c>
      <c r="B20" s="23" t="s">
        <v>41</v>
      </c>
      <c r="C20" s="24">
        <v>38</v>
      </c>
      <c r="D20" s="38">
        <f>'[2]1.RSP Districts '!D20</f>
        <v>38</v>
      </c>
      <c r="E20" s="38">
        <v>38</v>
      </c>
      <c r="F20" s="102">
        <f t="shared" si="4"/>
        <v>0</v>
      </c>
      <c r="G20" s="102">
        <f t="shared" si="2"/>
        <v>100</v>
      </c>
      <c r="H20" s="38">
        <f>'[2]1.RSP Districts '!H20</f>
        <v>357</v>
      </c>
      <c r="I20" s="38">
        <v>357</v>
      </c>
      <c r="J20" s="24">
        <v>70164</v>
      </c>
      <c r="K20" s="38">
        <v>48595</v>
      </c>
      <c r="L20" s="38">
        <v>48595</v>
      </c>
      <c r="M20" s="102">
        <f t="shared" si="3"/>
        <v>0</v>
      </c>
      <c r="N20" s="102">
        <f t="shared" si="0"/>
        <v>69.259164243771735</v>
      </c>
      <c r="O20" s="38">
        <v>2246</v>
      </c>
      <c r="P20" s="38">
        <v>2246</v>
      </c>
      <c r="Q20" s="102">
        <f t="shared" si="1"/>
        <v>0</v>
      </c>
      <c r="R20" s="26" t="s">
        <v>5</v>
      </c>
      <c r="S20" s="1">
        <v>1</v>
      </c>
      <c r="W20" s="225">
        <f>I20-'[3]1.RSP Districts '!I20</f>
        <v>357</v>
      </c>
    </row>
    <row r="21" spans="1:23" ht="14.25">
      <c r="A21" s="22">
        <v>12</v>
      </c>
      <c r="B21" s="23" t="s">
        <v>42</v>
      </c>
      <c r="C21" s="24">
        <v>7</v>
      </c>
      <c r="D21" s="38">
        <f>'[4]1.RSP Districts '!D21</f>
        <v>7</v>
      </c>
      <c r="E21" s="38">
        <f>D21</f>
        <v>7</v>
      </c>
      <c r="F21" s="102">
        <f t="shared" si="4"/>
        <v>0</v>
      </c>
      <c r="G21" s="102">
        <f t="shared" si="2"/>
        <v>99.999999999999986</v>
      </c>
      <c r="H21" s="38">
        <f>'[4]1.RSP Districts '!H21</f>
        <v>137</v>
      </c>
      <c r="I21" s="38">
        <f>H21</f>
        <v>137</v>
      </c>
      <c r="J21" s="24">
        <v>14328.125</v>
      </c>
      <c r="K21" s="38">
        <f>'[4]1.RSP Districts '!K21</f>
        <v>15739</v>
      </c>
      <c r="L21" s="38">
        <f>'[5]1.RSP Districts '!L21</f>
        <v>15739</v>
      </c>
      <c r="M21" s="102">
        <f t="shared" si="3"/>
        <v>0</v>
      </c>
      <c r="N21" s="102">
        <f t="shared" si="0"/>
        <v>109.84689203925845</v>
      </c>
      <c r="O21" s="38">
        <v>942</v>
      </c>
      <c r="P21" s="38">
        <f>'[5]1.RSP Districts '!P21</f>
        <v>942</v>
      </c>
      <c r="Q21" s="102">
        <f t="shared" si="1"/>
        <v>0</v>
      </c>
      <c r="R21" s="26" t="s">
        <v>3</v>
      </c>
      <c r="S21" s="1">
        <v>1</v>
      </c>
    </row>
    <row r="22" spans="1:23" ht="14.25">
      <c r="A22" s="22">
        <v>13</v>
      </c>
      <c r="B22" s="23" t="s">
        <v>43</v>
      </c>
      <c r="C22" s="24">
        <v>35</v>
      </c>
      <c r="D22" s="38">
        <f>'[4]1.RSP Districts '!D22</f>
        <v>28</v>
      </c>
      <c r="E22" s="38">
        <f>D22</f>
        <v>28</v>
      </c>
      <c r="F22" s="102">
        <f t="shared" si="4"/>
        <v>0</v>
      </c>
      <c r="G22" s="102">
        <f t="shared" si="2"/>
        <v>80</v>
      </c>
      <c r="H22" s="38">
        <f>'[4]1.RSP Districts '!H22</f>
        <v>217</v>
      </c>
      <c r="I22" s="38">
        <f>H22</f>
        <v>217</v>
      </c>
      <c r="J22" s="24">
        <v>60032</v>
      </c>
      <c r="K22" s="38">
        <f>'[4]1.RSP Districts '!K22</f>
        <v>34100</v>
      </c>
      <c r="L22" s="38">
        <f>'[5]1.RSP Districts '!L22</f>
        <v>35045</v>
      </c>
      <c r="M22" s="102">
        <f t="shared" si="3"/>
        <v>2.7712609970674489</v>
      </c>
      <c r="N22" s="102">
        <f t="shared" si="0"/>
        <v>58.377198827292105</v>
      </c>
      <c r="O22" s="38">
        <v>2060</v>
      </c>
      <c r="P22" s="38">
        <f>'[5]1.RSP Districts '!P22</f>
        <v>2123</v>
      </c>
      <c r="Q22" s="102">
        <f t="shared" si="1"/>
        <v>3.058252427184466</v>
      </c>
      <c r="R22" s="26" t="s">
        <v>3</v>
      </c>
      <c r="S22" s="1">
        <v>1</v>
      </c>
    </row>
    <row r="23" spans="1:23" ht="14.25">
      <c r="A23" s="22">
        <v>14</v>
      </c>
      <c r="B23" s="23" t="s">
        <v>172</v>
      </c>
      <c r="C23" s="24">
        <v>25</v>
      </c>
      <c r="D23" s="38">
        <v>0</v>
      </c>
      <c r="E23" s="38"/>
      <c r="F23" s="102">
        <v>0</v>
      </c>
      <c r="G23" s="102">
        <f t="shared" si="2"/>
        <v>0</v>
      </c>
      <c r="H23" s="102"/>
      <c r="I23" s="102"/>
      <c r="J23" s="165">
        <v>44863</v>
      </c>
      <c r="K23" s="24"/>
      <c r="L23" s="24"/>
      <c r="M23" s="102" t="e">
        <f t="shared" si="3"/>
        <v>#DIV/0!</v>
      </c>
      <c r="N23" s="102">
        <v>0</v>
      </c>
      <c r="O23" s="24"/>
      <c r="P23" s="25"/>
      <c r="Q23" s="102">
        <v>0</v>
      </c>
      <c r="R23" s="79">
        <v>0</v>
      </c>
      <c r="S23" s="1">
        <v>1</v>
      </c>
    </row>
    <row r="24" spans="1:23" ht="14.25">
      <c r="A24" s="22">
        <v>15</v>
      </c>
      <c r="B24" s="23" t="s">
        <v>44</v>
      </c>
      <c r="C24" s="24">
        <v>15</v>
      </c>
      <c r="D24" s="38">
        <f>'[4]1.RSP Districts '!D24</f>
        <v>13</v>
      </c>
      <c r="E24" s="38">
        <f>D24</f>
        <v>13</v>
      </c>
      <c r="F24" s="102">
        <f t="shared" si="4"/>
        <v>0</v>
      </c>
      <c r="G24" s="102">
        <f t="shared" si="2"/>
        <v>86.666666666666671</v>
      </c>
      <c r="H24" s="38">
        <f>'[4]1.RSP Districts '!H24</f>
        <v>131</v>
      </c>
      <c r="I24" s="38">
        <f>H24</f>
        <v>131</v>
      </c>
      <c r="J24" s="24">
        <v>28796</v>
      </c>
      <c r="K24" s="38">
        <f>'[4]1.RSP Districts '!K24</f>
        <v>19117</v>
      </c>
      <c r="L24" s="38">
        <f>'[5]1.RSP Districts '!L24</f>
        <v>19117</v>
      </c>
      <c r="M24" s="102">
        <f t="shared" si="3"/>
        <v>0</v>
      </c>
      <c r="N24" s="102">
        <f t="shared" si="0"/>
        <v>66.387692735102107</v>
      </c>
      <c r="O24" s="38">
        <v>1220</v>
      </c>
      <c r="P24" s="38">
        <f>'[5]1.RSP Districts '!P24</f>
        <v>1220</v>
      </c>
      <c r="Q24" s="102">
        <f t="shared" si="1"/>
        <v>0</v>
      </c>
      <c r="R24" s="26" t="s">
        <v>3</v>
      </c>
      <c r="S24" s="1">
        <v>1</v>
      </c>
    </row>
    <row r="25" spans="1:23" ht="14.25">
      <c r="A25" s="22">
        <v>16</v>
      </c>
      <c r="B25" s="23" t="s">
        <v>173</v>
      </c>
      <c r="C25" s="24">
        <v>8</v>
      </c>
      <c r="D25" s="38">
        <v>0</v>
      </c>
      <c r="E25" s="38"/>
      <c r="F25" s="102">
        <v>0</v>
      </c>
      <c r="G25" s="102">
        <f t="shared" si="2"/>
        <v>0</v>
      </c>
      <c r="H25" s="102"/>
      <c r="I25" s="102"/>
      <c r="J25" s="164">
        <v>15156</v>
      </c>
      <c r="K25" s="24"/>
      <c r="L25" s="24"/>
      <c r="M25" s="102" t="e">
        <f t="shared" si="3"/>
        <v>#DIV/0!</v>
      </c>
      <c r="N25" s="102">
        <v>0</v>
      </c>
      <c r="O25" s="24"/>
      <c r="P25" s="25"/>
      <c r="Q25" s="102">
        <v>0</v>
      </c>
      <c r="R25" s="79">
        <v>0</v>
      </c>
      <c r="S25" s="1">
        <v>1</v>
      </c>
    </row>
    <row r="26" spans="1:23" ht="14.25">
      <c r="A26" s="22">
        <v>17</v>
      </c>
      <c r="B26" s="23" t="s">
        <v>45</v>
      </c>
      <c r="C26" s="24">
        <v>22</v>
      </c>
      <c r="D26" s="38">
        <v>0</v>
      </c>
      <c r="E26" s="38">
        <v>5</v>
      </c>
      <c r="F26" s="102">
        <f ca="1">-F26</f>
        <v>0</v>
      </c>
      <c r="G26" s="102">
        <f t="shared" si="2"/>
        <v>22.727272727272727</v>
      </c>
      <c r="H26" s="38">
        <f>'[2]1.RSP Districts '!H26</f>
        <v>288</v>
      </c>
      <c r="I26" s="38">
        <v>288</v>
      </c>
      <c r="J26" s="24">
        <v>34637</v>
      </c>
      <c r="K26" s="38">
        <v>5052</v>
      </c>
      <c r="L26" s="38">
        <v>5321</v>
      </c>
      <c r="M26" s="102">
        <f t="shared" si="3"/>
        <v>5.3246239113222487</v>
      </c>
      <c r="N26" s="102">
        <f t="shared" si="0"/>
        <v>15.362184946733262</v>
      </c>
      <c r="O26" s="38">
        <v>288</v>
      </c>
      <c r="P26" s="38">
        <v>316</v>
      </c>
      <c r="Q26" s="102">
        <f t="shared" si="1"/>
        <v>9.7222222222222232</v>
      </c>
      <c r="R26" s="26" t="s">
        <v>5</v>
      </c>
      <c r="S26" s="1">
        <v>1</v>
      </c>
      <c r="W26" s="225">
        <f>I26-'[3]1.RSP Districts '!I26</f>
        <v>288</v>
      </c>
    </row>
    <row r="27" spans="1:23" ht="14.25">
      <c r="A27" s="22">
        <v>18</v>
      </c>
      <c r="B27" s="23" t="s">
        <v>174</v>
      </c>
      <c r="C27" s="24">
        <v>20</v>
      </c>
      <c r="D27" s="38">
        <f>'[4]1.RSP Districts '!D27</f>
        <v>20</v>
      </c>
      <c r="E27" s="38">
        <f>D27</f>
        <v>20</v>
      </c>
      <c r="F27" s="102">
        <f t="shared" si="4"/>
        <v>0</v>
      </c>
      <c r="G27" s="102">
        <f t="shared" si="2"/>
        <v>100</v>
      </c>
      <c r="H27" s="38">
        <f>'[4]1.RSP Districts '!H27</f>
        <v>20</v>
      </c>
      <c r="I27" s="38">
        <f>H27</f>
        <v>20</v>
      </c>
      <c r="J27" s="164">
        <v>39770</v>
      </c>
      <c r="K27" s="38">
        <f>'[4]1.RSP Districts '!K27</f>
        <v>2588</v>
      </c>
      <c r="L27" s="38">
        <f>'[5]1.RSP Districts '!L27</f>
        <v>3233</v>
      </c>
      <c r="M27" s="102">
        <f t="shared" si="3"/>
        <v>24.92272024729521</v>
      </c>
      <c r="N27" s="102">
        <f t="shared" si="0"/>
        <v>8.129243148101585</v>
      </c>
      <c r="O27" s="38">
        <v>134</v>
      </c>
      <c r="P27" s="38">
        <f>'[5]1.RSP Districts '!P27</f>
        <v>177</v>
      </c>
      <c r="Q27" s="102">
        <f t="shared" si="1"/>
        <v>32.089552238805972</v>
      </c>
      <c r="R27" s="79" t="s">
        <v>3</v>
      </c>
      <c r="S27" s="1">
        <v>1</v>
      </c>
    </row>
    <row r="28" spans="1:23" ht="14.25">
      <c r="A28" s="22">
        <v>19</v>
      </c>
      <c r="B28" s="23" t="s">
        <v>46</v>
      </c>
      <c r="C28" s="24">
        <v>13</v>
      </c>
      <c r="D28" s="38">
        <f>'[4]1.RSP Districts '!D28</f>
        <v>13</v>
      </c>
      <c r="E28" s="38">
        <f>D28</f>
        <v>13</v>
      </c>
      <c r="F28" s="102">
        <f t="shared" si="4"/>
        <v>0</v>
      </c>
      <c r="G28" s="102">
        <f t="shared" si="2"/>
        <v>100</v>
      </c>
      <c r="H28" s="38">
        <f>'[4]1.RSP Districts '!H28</f>
        <v>82</v>
      </c>
      <c r="I28" s="38">
        <f>H28</f>
        <v>82</v>
      </c>
      <c r="J28" s="24">
        <v>18831</v>
      </c>
      <c r="K28" s="38">
        <f>'[4]1.RSP Districts '!K28</f>
        <v>18831</v>
      </c>
      <c r="L28" s="38">
        <f>'[5]1.RSP Districts '!L28</f>
        <v>18831</v>
      </c>
      <c r="M28" s="102">
        <f t="shared" si="3"/>
        <v>0</v>
      </c>
      <c r="N28" s="102">
        <f t="shared" si="0"/>
        <v>100</v>
      </c>
      <c r="O28" s="38">
        <v>1389</v>
      </c>
      <c r="P28" s="38">
        <f>'[5]1.RSP Districts '!P28</f>
        <v>1389</v>
      </c>
      <c r="Q28" s="102">
        <f t="shared" si="1"/>
        <v>0</v>
      </c>
      <c r="R28" s="26" t="s">
        <v>3</v>
      </c>
      <c r="S28" s="1">
        <v>1</v>
      </c>
    </row>
    <row r="29" spans="1:23" ht="14.25">
      <c r="A29" s="22">
        <v>20</v>
      </c>
      <c r="B29" s="23" t="s">
        <v>175</v>
      </c>
      <c r="C29" s="24">
        <v>10</v>
      </c>
      <c r="D29" s="38">
        <v>0</v>
      </c>
      <c r="E29" s="38"/>
      <c r="F29" s="102">
        <v>0</v>
      </c>
      <c r="G29" s="102">
        <f t="shared" si="2"/>
        <v>0</v>
      </c>
      <c r="H29" s="102"/>
      <c r="I29" s="102"/>
      <c r="J29" s="164">
        <v>19126</v>
      </c>
      <c r="K29" s="24"/>
      <c r="L29" s="24"/>
      <c r="M29" s="102" t="e">
        <f t="shared" si="3"/>
        <v>#DIV/0!</v>
      </c>
      <c r="N29" s="102">
        <v>0</v>
      </c>
      <c r="O29" s="24"/>
      <c r="P29" s="25"/>
      <c r="Q29" s="102">
        <v>0</v>
      </c>
      <c r="R29" s="79">
        <v>0</v>
      </c>
      <c r="S29" s="1">
        <v>1</v>
      </c>
    </row>
    <row r="30" spans="1:23" ht="14.25">
      <c r="A30" s="22">
        <v>21</v>
      </c>
      <c r="B30" s="23" t="s">
        <v>176</v>
      </c>
      <c r="C30" s="24">
        <v>24</v>
      </c>
      <c r="D30" s="38">
        <v>0</v>
      </c>
      <c r="E30" s="38"/>
      <c r="F30" s="102">
        <v>0</v>
      </c>
      <c r="G30" s="102">
        <f t="shared" si="2"/>
        <v>0</v>
      </c>
      <c r="H30" s="102"/>
      <c r="I30" s="102"/>
      <c r="J30" s="164">
        <v>34981</v>
      </c>
      <c r="K30" s="24"/>
      <c r="L30" s="24"/>
      <c r="M30" s="102" t="e">
        <f t="shared" si="3"/>
        <v>#DIV/0!</v>
      </c>
      <c r="N30" s="102">
        <v>0</v>
      </c>
      <c r="O30" s="24"/>
      <c r="P30" s="25"/>
      <c r="Q30" s="102">
        <v>0</v>
      </c>
      <c r="R30" s="79">
        <v>0</v>
      </c>
      <c r="S30" s="1">
        <v>1</v>
      </c>
    </row>
    <row r="31" spans="1:23" ht="14.25">
      <c r="A31" s="22">
        <v>22</v>
      </c>
      <c r="B31" s="23" t="s">
        <v>177</v>
      </c>
      <c r="C31" s="24">
        <v>10</v>
      </c>
      <c r="D31" s="38">
        <f>'[4]1.RSP Districts '!D31</f>
        <v>1</v>
      </c>
      <c r="E31" s="38">
        <f>D31</f>
        <v>1</v>
      </c>
      <c r="F31" s="102">
        <f t="shared" si="4"/>
        <v>0</v>
      </c>
      <c r="G31" s="102">
        <f t="shared" si="2"/>
        <v>10</v>
      </c>
      <c r="H31" s="38">
        <f>'[4]1.RSP Districts '!H31</f>
        <v>4</v>
      </c>
      <c r="I31" s="38">
        <f>H31</f>
        <v>4</v>
      </c>
      <c r="J31" s="164">
        <v>13570</v>
      </c>
      <c r="K31" s="38">
        <f>'[4]1.RSP Districts '!K31</f>
        <v>0</v>
      </c>
      <c r="L31" s="38">
        <f>'[5]1.RSP Districts '!L31</f>
        <v>60</v>
      </c>
      <c r="M31" s="102" t="e">
        <f t="shared" si="3"/>
        <v>#DIV/0!</v>
      </c>
      <c r="N31" s="102">
        <v>0</v>
      </c>
      <c r="O31" s="38">
        <v>4</v>
      </c>
      <c r="P31" s="38">
        <f>'[5]1.RSP Districts '!P31</f>
        <v>4</v>
      </c>
      <c r="Q31" s="102">
        <f t="shared" si="1"/>
        <v>0</v>
      </c>
      <c r="R31" s="26" t="s">
        <v>3</v>
      </c>
      <c r="S31" s="1">
        <v>1</v>
      </c>
    </row>
    <row r="32" spans="1:23" ht="14.25">
      <c r="A32" s="22">
        <v>23</v>
      </c>
      <c r="B32" s="23" t="s">
        <v>47</v>
      </c>
      <c r="C32" s="24">
        <v>16</v>
      </c>
      <c r="D32" s="38">
        <f>'[2]1.RSP Districts '!D32</f>
        <v>16</v>
      </c>
      <c r="E32" s="38">
        <v>16</v>
      </c>
      <c r="F32" s="102">
        <f t="shared" si="4"/>
        <v>0</v>
      </c>
      <c r="G32" s="102">
        <f t="shared" si="2"/>
        <v>100</v>
      </c>
      <c r="H32" s="38">
        <f>'[2]1.RSP Districts '!H32</f>
        <v>117</v>
      </c>
      <c r="I32" s="38">
        <v>117</v>
      </c>
      <c r="J32" s="24">
        <v>35703</v>
      </c>
      <c r="K32" s="38">
        <f>'[2]1.RSP Districts '!K32</f>
        <v>16949</v>
      </c>
      <c r="L32" s="38">
        <v>16949</v>
      </c>
      <c r="M32" s="102">
        <f t="shared" si="3"/>
        <v>0</v>
      </c>
      <c r="N32" s="102">
        <f t="shared" si="0"/>
        <v>47.472201215584128</v>
      </c>
      <c r="O32" s="38">
        <v>1042</v>
      </c>
      <c r="P32" s="38">
        <v>1042</v>
      </c>
      <c r="Q32" s="102">
        <f t="shared" si="1"/>
        <v>0</v>
      </c>
      <c r="R32" s="26" t="s">
        <v>5</v>
      </c>
      <c r="S32" s="1">
        <v>1</v>
      </c>
      <c r="W32" s="225">
        <f>I32-'[3]1.RSP Districts '!I32</f>
        <v>117</v>
      </c>
    </row>
    <row r="33" spans="1:23" ht="14.25">
      <c r="A33" s="22">
        <v>24</v>
      </c>
      <c r="B33" s="23" t="s">
        <v>48</v>
      </c>
      <c r="C33" s="24">
        <v>38</v>
      </c>
      <c r="D33" s="38">
        <f>'[4]1.RSP Districts '!D33</f>
        <v>35</v>
      </c>
      <c r="E33" s="38">
        <f>D33</f>
        <v>35</v>
      </c>
      <c r="F33" s="102">
        <f t="shared" si="4"/>
        <v>0</v>
      </c>
      <c r="G33" s="102">
        <f t="shared" si="2"/>
        <v>92.10526315789474</v>
      </c>
      <c r="H33" s="38">
        <f>'[4]1.RSP Districts '!H33</f>
        <v>197</v>
      </c>
      <c r="I33" s="38">
        <f>H33</f>
        <v>197</v>
      </c>
      <c r="J33" s="24">
        <v>55654</v>
      </c>
      <c r="K33" s="38">
        <f>'[4]1.RSP Districts '!K33</f>
        <v>23705</v>
      </c>
      <c r="L33" s="38">
        <f>'[5]1.RSP Districts '!L33</f>
        <v>23705</v>
      </c>
      <c r="M33" s="102">
        <f t="shared" si="3"/>
        <v>0</v>
      </c>
      <c r="N33" s="102">
        <f t="shared" si="0"/>
        <v>42.59352427498473</v>
      </c>
      <c r="O33" s="38">
        <v>1550</v>
      </c>
      <c r="P33" s="38">
        <f>'[5]1.RSP Districts '!P33</f>
        <v>1550</v>
      </c>
      <c r="Q33" s="102">
        <f t="shared" si="1"/>
        <v>0</v>
      </c>
      <c r="R33" s="26" t="s">
        <v>3</v>
      </c>
      <c r="S33" s="1">
        <v>1</v>
      </c>
    </row>
    <row r="34" spans="1:23" ht="14.25">
      <c r="A34" s="22">
        <v>25</v>
      </c>
      <c r="B34" s="23" t="s">
        <v>181</v>
      </c>
      <c r="C34" s="24">
        <v>47</v>
      </c>
      <c r="D34" s="38">
        <f>'[4]1.RSP Districts '!D34</f>
        <v>5</v>
      </c>
      <c r="E34" s="38">
        <f>D34</f>
        <v>5</v>
      </c>
      <c r="F34" s="102">
        <f t="shared" si="4"/>
        <v>0</v>
      </c>
      <c r="G34" s="102">
        <f t="shared" si="2"/>
        <v>10.638297872340425</v>
      </c>
      <c r="H34" s="38">
        <f>'[4]1.RSP Districts '!H34</f>
        <v>0</v>
      </c>
      <c r="I34" s="38">
        <f>H34</f>
        <v>0</v>
      </c>
      <c r="J34" s="164">
        <v>25232</v>
      </c>
      <c r="K34" s="38">
        <f>'[4]1.RSP Districts '!K34</f>
        <v>939</v>
      </c>
      <c r="L34" s="38">
        <f>'[5]1.RSP Districts '!L34</f>
        <v>939</v>
      </c>
      <c r="M34" s="102">
        <f t="shared" si="3"/>
        <v>0</v>
      </c>
      <c r="N34" s="102">
        <f t="shared" si="0"/>
        <v>3.7214648065948004</v>
      </c>
      <c r="O34" s="38">
        <v>88</v>
      </c>
      <c r="P34" s="38">
        <f>'[5]1.RSP Districts '!P34</f>
        <v>88</v>
      </c>
      <c r="Q34" s="102">
        <f t="shared" si="1"/>
        <v>0</v>
      </c>
      <c r="R34" s="79" t="s">
        <v>3</v>
      </c>
      <c r="S34" s="1">
        <v>1</v>
      </c>
    </row>
    <row r="35" spans="1:23" ht="14.25">
      <c r="A35" s="22">
        <v>26</v>
      </c>
      <c r="B35" s="23" t="s">
        <v>49</v>
      </c>
      <c r="C35" s="24">
        <v>7</v>
      </c>
      <c r="D35" s="38">
        <f>'[4]1.RSP Districts '!D35</f>
        <v>7</v>
      </c>
      <c r="E35" s="38">
        <f>D35</f>
        <v>7</v>
      </c>
      <c r="F35" s="102">
        <f t="shared" si="4"/>
        <v>0</v>
      </c>
      <c r="G35" s="102">
        <f t="shared" si="2"/>
        <v>99.999999999999986</v>
      </c>
      <c r="H35" s="38">
        <f>'[4]1.RSP Districts '!H35</f>
        <v>38</v>
      </c>
      <c r="I35" s="38">
        <f>H35</f>
        <v>38</v>
      </c>
      <c r="J35" s="24">
        <v>10608.311688311687</v>
      </c>
      <c r="K35" s="38">
        <f>'[4]1.RSP Districts '!K35</f>
        <v>2520</v>
      </c>
      <c r="L35" s="38">
        <f>'[5]1.RSP Districts '!L35</f>
        <v>2520</v>
      </c>
      <c r="M35" s="102">
        <f t="shared" si="3"/>
        <v>0</v>
      </c>
      <c r="N35" s="102">
        <f t="shared" si="0"/>
        <v>23.754958131335393</v>
      </c>
      <c r="O35" s="38">
        <v>118</v>
      </c>
      <c r="P35" s="38">
        <f>'[5]1.RSP Districts '!P35</f>
        <v>118</v>
      </c>
      <c r="Q35" s="102">
        <f t="shared" si="1"/>
        <v>0</v>
      </c>
      <c r="R35" s="26" t="s">
        <v>3</v>
      </c>
      <c r="S35" s="1">
        <v>1</v>
      </c>
    </row>
    <row r="36" spans="1:23" ht="14.25">
      <c r="A36" s="22">
        <v>27</v>
      </c>
      <c r="B36" s="23" t="s">
        <v>178</v>
      </c>
      <c r="C36" s="24">
        <v>11</v>
      </c>
      <c r="D36" s="38">
        <v>0</v>
      </c>
      <c r="E36" s="38"/>
      <c r="F36" s="102">
        <v>0</v>
      </c>
      <c r="G36" s="102">
        <f t="shared" si="2"/>
        <v>0</v>
      </c>
      <c r="H36" s="102"/>
      <c r="I36" s="102"/>
      <c r="J36" s="164">
        <v>19815</v>
      </c>
      <c r="K36" s="24"/>
      <c r="L36" s="24"/>
      <c r="M36" s="102" t="e">
        <f t="shared" si="3"/>
        <v>#DIV/0!</v>
      </c>
      <c r="N36" s="102">
        <v>0</v>
      </c>
      <c r="O36" s="24"/>
      <c r="P36" s="25"/>
      <c r="Q36" s="102">
        <v>0</v>
      </c>
      <c r="R36" s="79">
        <v>0</v>
      </c>
      <c r="S36" s="1">
        <v>1</v>
      </c>
    </row>
    <row r="37" spans="1:23" ht="14.25">
      <c r="A37" s="22">
        <v>28</v>
      </c>
      <c r="B37" s="23" t="s">
        <v>179</v>
      </c>
      <c r="C37" s="24">
        <v>9</v>
      </c>
      <c r="D37" s="38">
        <v>0</v>
      </c>
      <c r="E37" s="38"/>
      <c r="F37" s="102">
        <v>0</v>
      </c>
      <c r="G37" s="102">
        <f t="shared" si="2"/>
        <v>0</v>
      </c>
      <c r="H37" s="102"/>
      <c r="I37" s="102"/>
      <c r="J37" s="164">
        <v>18421.875</v>
      </c>
      <c r="K37" s="24"/>
      <c r="L37" s="24"/>
      <c r="M37" s="102" t="e">
        <f t="shared" si="3"/>
        <v>#DIV/0!</v>
      </c>
      <c r="N37" s="102">
        <v>0</v>
      </c>
      <c r="O37" s="24"/>
      <c r="P37" s="25"/>
      <c r="Q37" s="102">
        <v>0</v>
      </c>
      <c r="R37" s="79">
        <v>0</v>
      </c>
      <c r="S37" s="1">
        <v>1</v>
      </c>
    </row>
    <row r="38" spans="1:23" ht="14.25">
      <c r="A38" s="22">
        <v>29</v>
      </c>
      <c r="B38" s="23" t="s">
        <v>50</v>
      </c>
      <c r="C38" s="24">
        <v>21</v>
      </c>
      <c r="D38" s="38">
        <f>'[4]1.RSP Districts '!D38</f>
        <v>21</v>
      </c>
      <c r="E38" s="38">
        <f>D38</f>
        <v>21</v>
      </c>
      <c r="F38" s="102">
        <f t="shared" si="4"/>
        <v>0</v>
      </c>
      <c r="G38" s="102">
        <f t="shared" si="2"/>
        <v>100</v>
      </c>
      <c r="H38" s="38">
        <f>'[4]1.RSP Districts '!H38</f>
        <v>141</v>
      </c>
      <c r="I38" s="38">
        <f>H38</f>
        <v>141</v>
      </c>
      <c r="J38" s="24">
        <v>21117.688311688311</v>
      </c>
      <c r="K38" s="38">
        <f>'[4]1.RSP Districts '!K38</f>
        <v>21575</v>
      </c>
      <c r="L38" s="38">
        <f>'[5]1.RSP Districts '!L38</f>
        <v>22490</v>
      </c>
      <c r="M38" s="102">
        <f t="shared" si="3"/>
        <v>4.2410196987253768</v>
      </c>
      <c r="N38" s="102">
        <f t="shared" si="0"/>
        <v>106.49839920003051</v>
      </c>
      <c r="O38" s="38">
        <v>1257</v>
      </c>
      <c r="P38" s="38">
        <f>'[5]1.RSP Districts '!P38</f>
        <v>1318</v>
      </c>
      <c r="Q38" s="102">
        <f t="shared" si="1"/>
        <v>4.8528241845664279</v>
      </c>
      <c r="R38" s="26" t="s">
        <v>3</v>
      </c>
      <c r="S38" s="1">
        <v>1</v>
      </c>
    </row>
    <row r="39" spans="1:23" thickBot="1">
      <c r="A39" s="36">
        <v>30</v>
      </c>
      <c r="B39" s="37" t="s">
        <v>180</v>
      </c>
      <c r="C39" s="38">
        <v>10</v>
      </c>
      <c r="D39" s="38">
        <v>0</v>
      </c>
      <c r="E39" s="38"/>
      <c r="F39" s="134">
        <v>0</v>
      </c>
      <c r="G39" s="134">
        <f t="shared" si="2"/>
        <v>0</v>
      </c>
      <c r="H39" s="134"/>
      <c r="I39" s="134"/>
      <c r="J39" s="164">
        <v>4609</v>
      </c>
      <c r="K39" s="24"/>
      <c r="L39" s="38"/>
      <c r="M39" s="102" t="e">
        <f t="shared" si="3"/>
        <v>#DIV/0!</v>
      </c>
      <c r="N39" s="134">
        <v>0</v>
      </c>
      <c r="O39" s="24"/>
      <c r="P39" s="40"/>
      <c r="Q39" s="134">
        <v>0</v>
      </c>
      <c r="R39" s="88">
        <v>0</v>
      </c>
      <c r="S39" s="1">
        <v>1</v>
      </c>
    </row>
    <row r="40" spans="1:23" s="4" customFormat="1" ht="15.75" thickBot="1">
      <c r="A40" s="150">
        <f>COUNTIF(R10:R39,"*")</f>
        <v>19</v>
      </c>
      <c r="B40" s="149" t="s">
        <v>33</v>
      </c>
      <c r="C40" s="56">
        <f>SUM(C10:C39)</f>
        <v>547</v>
      </c>
      <c r="D40" s="56">
        <f>SUM(D10:D39)</f>
        <v>279</v>
      </c>
      <c r="E40" s="56">
        <f>SUM(E10:E39)</f>
        <v>284</v>
      </c>
      <c r="F40" s="151">
        <f t="shared" si="4"/>
        <v>1.7921146953405018</v>
      </c>
      <c r="G40" s="151">
        <f t="shared" si="2"/>
        <v>51.919561243144429</v>
      </c>
      <c r="H40" s="151">
        <f>SUM(H10:H39)</f>
        <v>2362</v>
      </c>
      <c r="I40" s="151">
        <f>SUM(I10:I39)</f>
        <v>2362</v>
      </c>
      <c r="J40" s="56">
        <f>SUM(J10:J39)</f>
        <v>814191</v>
      </c>
      <c r="K40" s="56">
        <f>SUM(K10:K39)</f>
        <v>288634</v>
      </c>
      <c r="L40" s="56">
        <f>SUM(L10:L39)</f>
        <v>292698</v>
      </c>
      <c r="M40" s="151">
        <f t="shared" ref="M40" si="5">(L40-K40)/K40%</f>
        <v>1.4080115301731604</v>
      </c>
      <c r="N40" s="151">
        <f t="shared" si="0"/>
        <v>35.949549921332952</v>
      </c>
      <c r="O40" s="56">
        <f>SUM(O10:O39)</f>
        <v>16518</v>
      </c>
      <c r="P40" s="56">
        <f>SUM(P10:P39)</f>
        <v>16795</v>
      </c>
      <c r="Q40" s="151">
        <f t="shared" si="1"/>
        <v>1.6769584695483715</v>
      </c>
      <c r="R40" s="153"/>
      <c r="S40" s="1">
        <v>1</v>
      </c>
    </row>
    <row r="41" spans="1:23" ht="5.25" customHeight="1" thickBot="1">
      <c r="A41" s="89"/>
      <c r="B41" s="90"/>
      <c r="C41" s="45"/>
      <c r="D41" s="45"/>
      <c r="E41" s="45"/>
      <c r="F41" s="105"/>
      <c r="G41" s="105"/>
      <c r="H41" s="105"/>
      <c r="I41" s="105"/>
      <c r="J41" s="45"/>
      <c r="K41" s="45"/>
      <c r="L41" s="45"/>
      <c r="M41" s="45"/>
      <c r="N41" s="45"/>
      <c r="O41" s="45"/>
      <c r="P41" s="45"/>
      <c r="Q41" s="45"/>
      <c r="R41" s="91"/>
      <c r="S41" s="1">
        <v>1</v>
      </c>
    </row>
    <row r="42" spans="1:23" s="5" customFormat="1" ht="14.25">
      <c r="A42" s="17" t="s">
        <v>277</v>
      </c>
      <c r="B42" s="18"/>
      <c r="C42" s="19"/>
      <c r="D42" s="28"/>
      <c r="E42" s="28"/>
      <c r="F42" s="104"/>
      <c r="G42" s="104"/>
      <c r="H42" s="104"/>
      <c r="I42" s="104"/>
      <c r="J42" s="19"/>
      <c r="K42" s="28"/>
      <c r="L42" s="28"/>
      <c r="M42" s="28"/>
      <c r="N42" s="28"/>
      <c r="O42" s="28"/>
      <c r="P42" s="28"/>
      <c r="Q42" s="28"/>
      <c r="R42" s="21"/>
      <c r="S42" s="1">
        <v>1</v>
      </c>
    </row>
    <row r="43" spans="1:23" ht="14.25">
      <c r="A43" s="22">
        <v>1</v>
      </c>
      <c r="B43" s="23" t="s">
        <v>51</v>
      </c>
      <c r="C43" s="24">
        <v>54</v>
      </c>
      <c r="D43" s="24">
        <f>'[6]1.RSP Districts '!D43</f>
        <v>51</v>
      </c>
      <c r="E43" s="24">
        <v>54</v>
      </c>
      <c r="F43" s="102">
        <f t="shared" ref="F43:F77" si="6">(E43-D43)/D43%</f>
        <v>5.8823529411764701</v>
      </c>
      <c r="G43" s="102">
        <f t="shared" ref="G43:G77" si="7">E43/C43%</f>
        <v>100</v>
      </c>
      <c r="H43" s="24">
        <f>'[6]1.RSP Districts '!H43</f>
        <v>189</v>
      </c>
      <c r="I43" s="24">
        <f>H43</f>
        <v>189</v>
      </c>
      <c r="J43" s="24">
        <v>115585</v>
      </c>
      <c r="K43" s="24">
        <v>57606</v>
      </c>
      <c r="L43" s="24">
        <v>57606</v>
      </c>
      <c r="M43" s="102">
        <f t="shared" ref="M43:M77" si="8">(L43-K43)/K43%</f>
        <v>0</v>
      </c>
      <c r="N43" s="102">
        <f t="shared" ref="N43:N77" si="9">L43/J43%</f>
        <v>49.838646883246099</v>
      </c>
      <c r="O43" s="24">
        <f>'1.RSP Districts  (2)'!O43</f>
        <v>2017</v>
      </c>
      <c r="P43" s="24">
        <f>'1.RSP Districts  (2)'!P43</f>
        <v>2017</v>
      </c>
      <c r="Q43" s="102">
        <f t="shared" ref="Q43:Q77" si="10">(P43-O43)/O43%</f>
        <v>0</v>
      </c>
      <c r="R43" s="26" t="s">
        <v>9</v>
      </c>
      <c r="S43" s="1">
        <v>1</v>
      </c>
      <c r="T43" s="225">
        <f>I43-'[7]1.RSP Districts '!I43</f>
        <v>189</v>
      </c>
      <c r="U43" s="225">
        <f>P43-'[8]1.RSP Districts '!$P$43</f>
        <v>2017</v>
      </c>
    </row>
    <row r="44" spans="1:23" ht="14.25">
      <c r="A44" s="22">
        <v>2</v>
      </c>
      <c r="B44" s="23" t="s">
        <v>278</v>
      </c>
      <c r="C44" s="24">
        <v>49</v>
      </c>
      <c r="D44" s="24">
        <v>0</v>
      </c>
      <c r="E44" s="24">
        <v>0</v>
      </c>
      <c r="F44" s="102">
        <v>0</v>
      </c>
      <c r="G44" s="102">
        <f t="shared" si="7"/>
        <v>0</v>
      </c>
      <c r="H44" s="102">
        <v>0</v>
      </c>
      <c r="I44" s="102">
        <v>0</v>
      </c>
      <c r="J44" s="164">
        <v>65010</v>
      </c>
      <c r="K44" s="24">
        <v>0</v>
      </c>
      <c r="L44" s="24">
        <v>0</v>
      </c>
      <c r="M44" s="102">
        <v>0</v>
      </c>
      <c r="N44" s="102">
        <v>0</v>
      </c>
      <c r="O44" s="24">
        <v>0</v>
      </c>
      <c r="P44" s="25">
        <v>0</v>
      </c>
      <c r="Q44" s="102">
        <v>0</v>
      </c>
      <c r="R44" s="79">
        <v>0</v>
      </c>
      <c r="S44" s="1">
        <v>1</v>
      </c>
    </row>
    <row r="45" spans="1:23" ht="14.25">
      <c r="A45" s="22">
        <v>3</v>
      </c>
      <c r="B45" s="23" t="s">
        <v>52</v>
      </c>
      <c r="C45" s="24">
        <v>20</v>
      </c>
      <c r="D45" s="24">
        <v>18</v>
      </c>
      <c r="E45" s="24">
        <f>D45</f>
        <v>18</v>
      </c>
      <c r="F45" s="102">
        <f t="shared" si="6"/>
        <v>0</v>
      </c>
      <c r="G45" s="102">
        <f t="shared" si="7"/>
        <v>90</v>
      </c>
      <c r="H45" s="24">
        <f>'[6]1.RSP Districts '!H45</f>
        <v>104</v>
      </c>
      <c r="I45" s="24">
        <v>92</v>
      </c>
      <c r="J45" s="24">
        <v>46053</v>
      </c>
      <c r="K45" s="24">
        <v>36501</v>
      </c>
      <c r="L45" s="222">
        <v>36501</v>
      </c>
      <c r="M45" s="102">
        <f t="shared" si="8"/>
        <v>0</v>
      </c>
      <c r="N45" s="102">
        <f t="shared" si="9"/>
        <v>79.258680216272566</v>
      </c>
      <c r="O45" s="24">
        <f>'1.RSP Districts  (2)'!O45</f>
        <v>1502</v>
      </c>
      <c r="P45" s="24">
        <f>'1.RSP Districts  (2)'!P45</f>
        <v>1502</v>
      </c>
      <c r="Q45" s="102">
        <f t="shared" si="10"/>
        <v>0</v>
      </c>
      <c r="R45" s="26" t="s">
        <v>9</v>
      </c>
      <c r="S45" s="1">
        <v>1</v>
      </c>
      <c r="T45" s="225">
        <f>I45-'[7]1.RSP Districts '!I45</f>
        <v>92</v>
      </c>
      <c r="U45" s="225">
        <f>P45-'[8]1.RSP Districts '!$P$43</f>
        <v>1502</v>
      </c>
    </row>
    <row r="46" spans="1:23" ht="14.25">
      <c r="A46" s="22">
        <v>4</v>
      </c>
      <c r="B46" s="23" t="s">
        <v>53</v>
      </c>
      <c r="C46" s="24">
        <v>27</v>
      </c>
      <c r="D46" s="38">
        <f>'[2]1.RSP Districts '!D46</f>
        <v>5</v>
      </c>
      <c r="E46" s="38">
        <v>5</v>
      </c>
      <c r="F46" s="102">
        <f t="shared" si="6"/>
        <v>0</v>
      </c>
      <c r="G46" s="102">
        <f t="shared" si="7"/>
        <v>18.518518518518519</v>
      </c>
      <c r="H46" s="38">
        <f>'[2]1.RSP Districts '!H46</f>
        <v>167</v>
      </c>
      <c r="I46" s="38">
        <v>167</v>
      </c>
      <c r="J46" s="24">
        <v>56591</v>
      </c>
      <c r="K46" s="38">
        <v>269</v>
      </c>
      <c r="L46" s="38">
        <v>269</v>
      </c>
      <c r="M46" s="102">
        <f t="shared" si="8"/>
        <v>0</v>
      </c>
      <c r="N46" s="102">
        <f t="shared" si="9"/>
        <v>0.475340601862487</v>
      </c>
      <c r="O46" s="38">
        <v>19</v>
      </c>
      <c r="P46" s="38">
        <v>19</v>
      </c>
      <c r="Q46" s="102">
        <f t="shared" si="10"/>
        <v>0</v>
      </c>
      <c r="R46" s="26" t="s">
        <v>5</v>
      </c>
      <c r="S46" s="1">
        <v>1</v>
      </c>
      <c r="W46" s="225">
        <f>I46-'[3]1.RSP Districts '!I46</f>
        <v>167</v>
      </c>
    </row>
    <row r="47" spans="1:23" ht="14.25">
      <c r="A47" s="22">
        <v>4</v>
      </c>
      <c r="B47" s="23" t="s">
        <v>54</v>
      </c>
      <c r="C47" s="24">
        <v>27</v>
      </c>
      <c r="D47" s="24">
        <f>'[6]1.RSP Districts '!D47</f>
        <v>21</v>
      </c>
      <c r="E47" s="24">
        <f>D47</f>
        <v>21</v>
      </c>
      <c r="F47" s="102">
        <f t="shared" si="6"/>
        <v>0</v>
      </c>
      <c r="G47" s="102">
        <f t="shared" si="7"/>
        <v>77.777777777777771</v>
      </c>
      <c r="H47" s="24">
        <v>111</v>
      </c>
      <c r="I47" s="24">
        <v>111</v>
      </c>
      <c r="J47" s="24">
        <v>56591</v>
      </c>
      <c r="K47" s="24">
        <v>6896</v>
      </c>
      <c r="L47" s="24">
        <v>13964</v>
      </c>
      <c r="M47" s="102">
        <f t="shared" si="8"/>
        <v>102.49419953596289</v>
      </c>
      <c r="N47" s="102">
        <f t="shared" si="9"/>
        <v>24.67530172642293</v>
      </c>
      <c r="O47" s="24">
        <f>'1.RSP Districts  (2)'!O47</f>
        <v>451</v>
      </c>
      <c r="P47" s="24">
        <f>'1.RSP Districts  (2)'!P47</f>
        <v>597</v>
      </c>
      <c r="Q47" s="102">
        <f t="shared" si="10"/>
        <v>32.372505543237253</v>
      </c>
      <c r="R47" s="26" t="s">
        <v>9</v>
      </c>
      <c r="S47" s="1">
        <v>1</v>
      </c>
      <c r="T47" s="225">
        <f>I47-'[7]1.RSP Districts '!I47</f>
        <v>111</v>
      </c>
      <c r="U47" s="225">
        <f>P47-'[8]1.RSP Districts '!$P$43</f>
        <v>597</v>
      </c>
    </row>
    <row r="48" spans="1:23" ht="14.25">
      <c r="A48" s="22">
        <v>5</v>
      </c>
      <c r="B48" s="23" t="s">
        <v>55</v>
      </c>
      <c r="C48" s="24">
        <v>49</v>
      </c>
      <c r="D48" s="38">
        <f>'[2]1.RSP Districts '!D48</f>
        <v>28</v>
      </c>
      <c r="E48" s="38">
        <v>28</v>
      </c>
      <c r="F48" s="102">
        <f t="shared" si="6"/>
        <v>0</v>
      </c>
      <c r="G48" s="102">
        <f t="shared" si="7"/>
        <v>57.142857142857146</v>
      </c>
      <c r="H48" s="38">
        <f>'[2]1.RSP Districts '!H48</f>
        <v>226</v>
      </c>
      <c r="I48" s="38">
        <v>226</v>
      </c>
      <c r="J48" s="24">
        <v>102361</v>
      </c>
      <c r="K48" s="38">
        <v>12926</v>
      </c>
      <c r="L48" s="38">
        <v>12926</v>
      </c>
      <c r="M48" s="102">
        <f t="shared" si="8"/>
        <v>0</v>
      </c>
      <c r="N48" s="102">
        <f t="shared" si="9"/>
        <v>12.627856312462754</v>
      </c>
      <c r="O48" s="38">
        <v>736</v>
      </c>
      <c r="P48" s="38">
        <v>736</v>
      </c>
      <c r="Q48" s="102">
        <f t="shared" si="10"/>
        <v>0</v>
      </c>
      <c r="R48" s="26" t="s">
        <v>5</v>
      </c>
      <c r="S48" s="1">
        <v>1</v>
      </c>
      <c r="W48" s="225">
        <f>I48-'[3]1.RSP Districts '!I48</f>
        <v>226</v>
      </c>
    </row>
    <row r="49" spans="1:23" ht="14.25">
      <c r="A49" s="22">
        <v>5</v>
      </c>
      <c r="B49" s="23" t="s">
        <v>56</v>
      </c>
      <c r="C49" s="24">
        <v>49</v>
      </c>
      <c r="D49" s="24">
        <f>'[6]1.RSP Districts '!D49</f>
        <v>37</v>
      </c>
      <c r="E49" s="24">
        <f>D49</f>
        <v>37</v>
      </c>
      <c r="F49" s="102">
        <f t="shared" si="6"/>
        <v>0</v>
      </c>
      <c r="G49" s="102">
        <f t="shared" si="7"/>
        <v>75.510204081632651</v>
      </c>
      <c r="H49" s="24">
        <f>'[6]1.RSP Districts '!H49</f>
        <v>68</v>
      </c>
      <c r="I49" s="222">
        <v>68</v>
      </c>
      <c r="J49" s="24">
        <v>102361</v>
      </c>
      <c r="K49" s="24">
        <v>36736</v>
      </c>
      <c r="L49" s="222">
        <f>K49+629</f>
        <v>37365</v>
      </c>
      <c r="M49" s="102">
        <f t="shared" si="8"/>
        <v>1.7122168989547037</v>
      </c>
      <c r="N49" s="102">
        <f t="shared" si="9"/>
        <v>36.503160383349126</v>
      </c>
      <c r="O49" s="24">
        <f>'1.RSP Districts  (2)'!O49</f>
        <v>1597</v>
      </c>
      <c r="P49" s="24">
        <f>'1.RSP Districts  (2)'!P49</f>
        <v>1626</v>
      </c>
      <c r="Q49" s="102">
        <f t="shared" si="10"/>
        <v>1.8159048215403881</v>
      </c>
      <c r="R49" s="26" t="s">
        <v>9</v>
      </c>
      <c r="S49" s="1">
        <v>1</v>
      </c>
      <c r="T49" s="225">
        <f>I49-'[7]1.RSP Districts '!I49</f>
        <v>68</v>
      </c>
      <c r="U49" s="225">
        <f>P49-'[8]1.RSP Districts '!$P$43</f>
        <v>1626</v>
      </c>
    </row>
    <row r="50" spans="1:23" ht="14.25">
      <c r="A50" s="22">
        <v>6</v>
      </c>
      <c r="B50" s="23" t="s">
        <v>57</v>
      </c>
      <c r="C50" s="24">
        <v>24</v>
      </c>
      <c r="D50" s="24">
        <v>24</v>
      </c>
      <c r="E50" s="24">
        <v>24</v>
      </c>
      <c r="F50" s="102">
        <f t="shared" si="6"/>
        <v>0</v>
      </c>
      <c r="G50" s="102">
        <f t="shared" si="7"/>
        <v>100</v>
      </c>
      <c r="H50" s="24">
        <v>378</v>
      </c>
      <c r="I50" s="24">
        <v>378</v>
      </c>
      <c r="J50" s="24">
        <v>36879</v>
      </c>
      <c r="K50" s="24">
        <v>34914</v>
      </c>
      <c r="L50" s="24">
        <f>K50</f>
        <v>34914</v>
      </c>
      <c r="M50" s="102">
        <f t="shared" si="8"/>
        <v>0</v>
      </c>
      <c r="N50" s="102">
        <f t="shared" si="9"/>
        <v>94.671764418774913</v>
      </c>
      <c r="O50" s="24">
        <v>1680</v>
      </c>
      <c r="P50" s="24">
        <f>O50</f>
        <v>1680</v>
      </c>
      <c r="Q50" s="102">
        <f t="shared" si="10"/>
        <v>0</v>
      </c>
      <c r="R50" s="26" t="s">
        <v>2</v>
      </c>
      <c r="S50" s="1">
        <v>1</v>
      </c>
    </row>
    <row r="51" spans="1:23" ht="14.25">
      <c r="A51" s="22">
        <v>6</v>
      </c>
      <c r="B51" s="23" t="s">
        <v>58</v>
      </c>
      <c r="C51" s="24">
        <v>24</v>
      </c>
      <c r="D51" s="24">
        <f>'[6]1.RSP Districts '!D51</f>
        <v>24</v>
      </c>
      <c r="E51" s="24">
        <f t="shared" ref="E51:E57" si="11">D51</f>
        <v>24</v>
      </c>
      <c r="F51" s="102">
        <f t="shared" si="6"/>
        <v>0</v>
      </c>
      <c r="G51" s="102">
        <f t="shared" si="7"/>
        <v>100</v>
      </c>
      <c r="H51" s="24">
        <f>'[6]1.RSP Districts '!H51</f>
        <v>523</v>
      </c>
      <c r="I51" s="222">
        <v>523</v>
      </c>
      <c r="J51" s="24">
        <v>36879</v>
      </c>
      <c r="K51" s="24">
        <v>26140</v>
      </c>
      <c r="L51" s="222">
        <v>29557</v>
      </c>
      <c r="M51" s="102">
        <f t="shared" si="8"/>
        <v>13.071920428462128</v>
      </c>
      <c r="N51" s="102">
        <f t="shared" si="9"/>
        <v>80.145882480544472</v>
      </c>
      <c r="O51" s="24">
        <f>'1.RSP Districts  (2)'!O51</f>
        <v>860</v>
      </c>
      <c r="P51" s="24">
        <f>'1.RSP Districts  (2)'!P51</f>
        <v>900</v>
      </c>
      <c r="Q51" s="102">
        <f t="shared" si="10"/>
        <v>4.6511627906976747</v>
      </c>
      <c r="R51" s="26" t="s">
        <v>9</v>
      </c>
      <c r="S51" s="1">
        <v>1</v>
      </c>
      <c r="T51" s="225">
        <f>I51-'[7]1.RSP Districts '!I51</f>
        <v>523</v>
      </c>
      <c r="U51" s="225">
        <f>P51-'[8]1.RSP Districts '!$P$43</f>
        <v>900</v>
      </c>
    </row>
    <row r="52" spans="1:23" ht="14.25">
      <c r="A52" s="22">
        <v>7</v>
      </c>
      <c r="B52" s="23" t="s">
        <v>59</v>
      </c>
      <c r="C52" s="24">
        <v>28</v>
      </c>
      <c r="D52" s="24">
        <v>25</v>
      </c>
      <c r="E52" s="24">
        <f t="shared" si="11"/>
        <v>25</v>
      </c>
      <c r="F52" s="102">
        <f t="shared" si="6"/>
        <v>0</v>
      </c>
      <c r="G52" s="102">
        <f t="shared" si="7"/>
        <v>89.285714285714278</v>
      </c>
      <c r="H52" s="24">
        <f>'[6]1.RSP Districts '!H52</f>
        <v>259</v>
      </c>
      <c r="I52" s="222">
        <v>328</v>
      </c>
      <c r="J52" s="24">
        <v>70230</v>
      </c>
      <c r="K52" s="24">
        <v>35097</v>
      </c>
      <c r="L52" s="222">
        <v>58744</v>
      </c>
      <c r="M52" s="102">
        <f t="shared" si="8"/>
        <v>67.376129013875826</v>
      </c>
      <c r="N52" s="102">
        <f t="shared" si="9"/>
        <v>83.645165883525564</v>
      </c>
      <c r="O52" s="24">
        <f>'1.RSP Districts  (2)'!O52</f>
        <v>1635</v>
      </c>
      <c r="P52" s="24">
        <f>'1.RSP Districts  (2)'!P52</f>
        <v>1862</v>
      </c>
      <c r="Q52" s="102">
        <f>(P52-O52)/O52%</f>
        <v>13.883792048929662</v>
      </c>
      <c r="R52" s="26" t="s">
        <v>9</v>
      </c>
      <c r="S52" s="1">
        <v>1</v>
      </c>
      <c r="T52" s="225">
        <f>I52-'[7]1.RSP Districts '!I52</f>
        <v>328</v>
      </c>
      <c r="U52" s="225">
        <f>P52-'[8]1.RSP Districts '!$P$43</f>
        <v>1862</v>
      </c>
    </row>
    <row r="53" spans="1:23" ht="14.25">
      <c r="A53" s="22">
        <v>8</v>
      </c>
      <c r="B53" s="23" t="s">
        <v>194</v>
      </c>
      <c r="C53" s="24">
        <v>37</v>
      </c>
      <c r="D53" s="24">
        <v>28</v>
      </c>
      <c r="E53" s="24">
        <f t="shared" si="11"/>
        <v>28</v>
      </c>
      <c r="F53" s="102">
        <v>0</v>
      </c>
      <c r="G53" s="102">
        <f t="shared" si="7"/>
        <v>75.675675675675677</v>
      </c>
      <c r="H53" s="24">
        <v>140</v>
      </c>
      <c r="I53" s="222">
        <v>140</v>
      </c>
      <c r="J53" s="164">
        <v>73626</v>
      </c>
      <c r="K53" s="24">
        <v>3482</v>
      </c>
      <c r="L53" s="222">
        <v>22036</v>
      </c>
      <c r="M53" s="102">
        <v>0</v>
      </c>
      <c r="N53" s="102">
        <v>0</v>
      </c>
      <c r="O53" s="24">
        <f>'1.RSP Districts  (2)'!O53</f>
        <v>504</v>
      </c>
      <c r="P53" s="24">
        <f>'1.RSP Districts  (2)'!P53</f>
        <v>928</v>
      </c>
      <c r="Q53" s="102">
        <f>(P53-O53)/O53%</f>
        <v>84.126984126984127</v>
      </c>
      <c r="R53" s="79" t="s">
        <v>9</v>
      </c>
      <c r="S53" s="1">
        <v>1</v>
      </c>
      <c r="T53" s="225">
        <f>I53-'[7]1.RSP Districts '!I53</f>
        <v>140</v>
      </c>
      <c r="U53" s="225">
        <f>P53-'[8]1.RSP Districts '!$P$43</f>
        <v>928</v>
      </c>
    </row>
    <row r="54" spans="1:23" ht="14.25">
      <c r="A54" s="22">
        <v>9</v>
      </c>
      <c r="B54" s="23" t="s">
        <v>195</v>
      </c>
      <c r="C54" s="24">
        <v>47</v>
      </c>
      <c r="D54" s="24">
        <f>'[6]1.RSP Districts '!D54</f>
        <v>0</v>
      </c>
      <c r="E54" s="24">
        <f t="shared" si="11"/>
        <v>0</v>
      </c>
      <c r="F54" s="102">
        <v>0</v>
      </c>
      <c r="G54" s="102">
        <f t="shared" si="7"/>
        <v>0</v>
      </c>
      <c r="H54" s="24">
        <f>'[6]1.RSP Districts '!H54</f>
        <v>0</v>
      </c>
      <c r="I54" s="24">
        <v>0</v>
      </c>
      <c r="J54" s="164">
        <v>99528</v>
      </c>
      <c r="K54" s="24">
        <v>0</v>
      </c>
      <c r="L54" s="24">
        <f>K54</f>
        <v>0</v>
      </c>
      <c r="M54" s="102">
        <v>0</v>
      </c>
      <c r="N54" s="102">
        <v>0</v>
      </c>
      <c r="O54" s="24">
        <f>'1.RSP Districts  (2)'!O54</f>
        <v>0</v>
      </c>
      <c r="P54" s="24">
        <f>'1.RSP Districts  (2)'!P54</f>
        <v>0</v>
      </c>
      <c r="Q54" s="102">
        <v>0</v>
      </c>
      <c r="R54" s="79" t="s">
        <v>9</v>
      </c>
      <c r="S54" s="1">
        <v>1</v>
      </c>
      <c r="T54" s="225">
        <f>I54-'[7]1.RSP Districts '!I54</f>
        <v>0</v>
      </c>
      <c r="U54" s="225">
        <f>P54-'[8]1.RSP Districts '!$P$43</f>
        <v>0</v>
      </c>
    </row>
    <row r="55" spans="1:23" ht="14.25">
      <c r="A55" s="22">
        <v>10</v>
      </c>
      <c r="B55" s="23" t="s">
        <v>60</v>
      </c>
      <c r="C55" s="24">
        <v>19</v>
      </c>
      <c r="D55" s="24">
        <f>'[6]1.RSP Districts '!D55</f>
        <v>17</v>
      </c>
      <c r="E55" s="24">
        <f t="shared" si="11"/>
        <v>17</v>
      </c>
      <c r="F55" s="102">
        <f t="shared" si="6"/>
        <v>0</v>
      </c>
      <c r="G55" s="102">
        <f t="shared" si="7"/>
        <v>89.473684210526315</v>
      </c>
      <c r="H55" s="24">
        <f>'[6]1.RSP Districts '!H55</f>
        <v>337</v>
      </c>
      <c r="I55" s="24">
        <f>H55</f>
        <v>337</v>
      </c>
      <c r="J55" s="24">
        <v>24536</v>
      </c>
      <c r="K55" s="24">
        <v>14204</v>
      </c>
      <c r="L55" s="222">
        <v>14204</v>
      </c>
      <c r="M55" s="102">
        <f t="shared" si="8"/>
        <v>0</v>
      </c>
      <c r="N55" s="102">
        <f t="shared" si="9"/>
        <v>57.890446690577107</v>
      </c>
      <c r="O55" s="24">
        <f>'1.RSP Districts  (2)'!O55</f>
        <v>505</v>
      </c>
      <c r="P55" s="24">
        <f>'1.RSP Districts  (2)'!P55</f>
        <v>505</v>
      </c>
      <c r="Q55" s="102">
        <f>(P55-O55)/O55%</f>
        <v>0</v>
      </c>
      <c r="R55" s="26" t="s">
        <v>9</v>
      </c>
      <c r="S55" s="1">
        <v>1</v>
      </c>
      <c r="T55" s="225">
        <f>I55-'[7]1.RSP Districts '!I55</f>
        <v>337</v>
      </c>
      <c r="U55" s="225">
        <f>P55-'[8]1.RSP Districts '!$P$43</f>
        <v>505</v>
      </c>
    </row>
    <row r="56" spans="1:23" ht="14.25">
      <c r="A56" s="22">
        <v>11</v>
      </c>
      <c r="B56" s="23" t="s">
        <v>61</v>
      </c>
      <c r="C56" s="24">
        <v>45</v>
      </c>
      <c r="D56" s="24">
        <f>'[9]1.RSP Districts '!D56</f>
        <v>4</v>
      </c>
      <c r="E56" s="24">
        <f t="shared" si="11"/>
        <v>4</v>
      </c>
      <c r="F56" s="102">
        <f t="shared" si="6"/>
        <v>0</v>
      </c>
      <c r="G56" s="102">
        <f t="shared" si="7"/>
        <v>8.8888888888888893</v>
      </c>
      <c r="H56" s="24">
        <f>'[9]1.RSP Districts '!H56</f>
        <v>22</v>
      </c>
      <c r="I56" s="24">
        <f>H56</f>
        <v>22</v>
      </c>
      <c r="J56" s="24">
        <v>94383</v>
      </c>
      <c r="K56" s="24">
        <v>7070</v>
      </c>
      <c r="L56" s="24">
        <v>7180</v>
      </c>
      <c r="M56" s="102">
        <f t="shared" si="8"/>
        <v>1.5558698727015559</v>
      </c>
      <c r="N56" s="102">
        <f t="shared" si="9"/>
        <v>7.6073021624656976</v>
      </c>
      <c r="O56" s="24">
        <v>741</v>
      </c>
      <c r="P56" s="24">
        <v>748</v>
      </c>
      <c r="Q56" s="102">
        <f t="shared" si="10"/>
        <v>0.94466936572199733</v>
      </c>
      <c r="R56" s="26" t="s">
        <v>4</v>
      </c>
      <c r="S56" s="1">
        <v>1</v>
      </c>
    </row>
    <row r="57" spans="1:23" ht="14.25">
      <c r="A57" s="22">
        <v>11</v>
      </c>
      <c r="B57" s="23" t="s">
        <v>62</v>
      </c>
      <c r="C57" s="24">
        <v>45</v>
      </c>
      <c r="D57" s="24">
        <f>'[6]1.RSP Districts '!D57</f>
        <v>45</v>
      </c>
      <c r="E57" s="24">
        <f t="shared" si="11"/>
        <v>45</v>
      </c>
      <c r="F57" s="102">
        <f t="shared" si="6"/>
        <v>0</v>
      </c>
      <c r="G57" s="102">
        <f t="shared" si="7"/>
        <v>100</v>
      </c>
      <c r="H57" s="24">
        <f>'[6]1.RSP Districts '!H57</f>
        <v>157</v>
      </c>
      <c r="I57" s="222">
        <v>157</v>
      </c>
      <c r="J57" s="24">
        <v>94383</v>
      </c>
      <c r="K57" s="24">
        <v>41322</v>
      </c>
      <c r="L57" s="222">
        <f>+K57+3152</f>
        <v>44474</v>
      </c>
      <c r="M57" s="102">
        <f t="shared" si="8"/>
        <v>7.627897972024587</v>
      </c>
      <c r="N57" s="102">
        <f t="shared" si="9"/>
        <v>47.120773868175412</v>
      </c>
      <c r="O57" s="24">
        <f>'1.RSP Districts  (2)'!O57</f>
        <v>1331</v>
      </c>
      <c r="P57" s="24">
        <f>'1.RSP Districts  (2)'!P57</f>
        <v>1475</v>
      </c>
      <c r="Q57" s="102">
        <f>(P57-O57)/O57%</f>
        <v>10.818933132982719</v>
      </c>
      <c r="R57" s="26" t="s">
        <v>9</v>
      </c>
      <c r="S57" s="1">
        <v>1</v>
      </c>
      <c r="T57" s="225">
        <f>I57-'[7]1.RSP Districts '!I57</f>
        <v>157</v>
      </c>
      <c r="U57" s="225">
        <f>P57-'[8]1.RSP Districts '!$P$43</f>
        <v>1475</v>
      </c>
    </row>
    <row r="58" spans="1:23" ht="14.25">
      <c r="A58" s="22">
        <v>11</v>
      </c>
      <c r="B58" s="23" t="s">
        <v>62</v>
      </c>
      <c r="C58" s="24">
        <v>45</v>
      </c>
      <c r="D58" s="38">
        <f>'[2]1.RSP Districts '!D58</f>
        <v>2</v>
      </c>
      <c r="E58" s="38">
        <v>2</v>
      </c>
      <c r="F58" s="102">
        <f t="shared" si="6"/>
        <v>0</v>
      </c>
      <c r="G58" s="102">
        <f t="shared" si="7"/>
        <v>4.4444444444444446</v>
      </c>
      <c r="H58" s="38">
        <f>'[2]1.RSP Districts '!H58</f>
        <v>16</v>
      </c>
      <c r="I58" s="38">
        <v>16</v>
      </c>
      <c r="J58" s="24">
        <v>94383</v>
      </c>
      <c r="K58" s="38">
        <v>2505</v>
      </c>
      <c r="L58" s="38">
        <v>3617</v>
      </c>
      <c r="M58" s="102">
        <f t="shared" si="8"/>
        <v>44.39121756487026</v>
      </c>
      <c r="N58" s="102">
        <f t="shared" si="9"/>
        <v>3.832257927804795</v>
      </c>
      <c r="O58" s="38">
        <v>161</v>
      </c>
      <c r="P58" s="38">
        <v>233</v>
      </c>
      <c r="Q58" s="102">
        <f t="shared" si="10"/>
        <v>44.720496894409933</v>
      </c>
      <c r="R58" s="26" t="s">
        <v>5</v>
      </c>
      <c r="S58" s="1">
        <v>1</v>
      </c>
      <c r="W58" s="225">
        <f>I58-'[3]1.RSP Districts '!I58</f>
        <v>16</v>
      </c>
    </row>
    <row r="59" spans="1:23" ht="14.25">
      <c r="A59" s="22">
        <v>12</v>
      </c>
      <c r="B59" s="23" t="s">
        <v>63</v>
      </c>
      <c r="C59" s="24">
        <v>21</v>
      </c>
      <c r="D59" s="24">
        <f>'[6]1.RSP Districts '!D59</f>
        <v>21</v>
      </c>
      <c r="E59" s="24">
        <f>D59</f>
        <v>21</v>
      </c>
      <c r="F59" s="102">
        <f t="shared" si="6"/>
        <v>0</v>
      </c>
      <c r="G59" s="102">
        <f t="shared" si="7"/>
        <v>100</v>
      </c>
      <c r="H59" s="24">
        <f>'[6]1.RSP Districts '!H59</f>
        <v>117</v>
      </c>
      <c r="I59" s="222">
        <v>117</v>
      </c>
      <c r="J59" s="24">
        <v>40734</v>
      </c>
      <c r="K59" s="24">
        <v>49483</v>
      </c>
      <c r="L59" s="222">
        <v>49483</v>
      </c>
      <c r="M59" s="102">
        <f t="shared" si="8"/>
        <v>0</v>
      </c>
      <c r="N59" s="102">
        <f t="shared" si="9"/>
        <v>121.47837187607405</v>
      </c>
      <c r="O59" s="24">
        <f>'1.RSP Districts  (2)'!O59</f>
        <v>1997</v>
      </c>
      <c r="P59" s="24">
        <f>'1.RSP Districts  (2)'!P59</f>
        <v>1997</v>
      </c>
      <c r="Q59" s="102">
        <f>(P59-O59)/O59%</f>
        <v>0</v>
      </c>
      <c r="R59" s="26" t="s">
        <v>9</v>
      </c>
      <c r="S59" s="1">
        <v>1</v>
      </c>
      <c r="T59" s="225">
        <f>I59-'[7]1.RSP Districts '!I59</f>
        <v>117</v>
      </c>
      <c r="U59" s="225">
        <f>P59-'[8]1.RSP Districts '!$P$43</f>
        <v>1997</v>
      </c>
    </row>
    <row r="60" spans="1:23" ht="14.25">
      <c r="A60" s="22">
        <v>13</v>
      </c>
      <c r="B60" s="23" t="s">
        <v>64</v>
      </c>
      <c r="C60" s="24">
        <v>32</v>
      </c>
      <c r="D60" s="24">
        <f>'[6]1.RSP Districts '!D60</f>
        <v>32</v>
      </c>
      <c r="E60" s="24">
        <f>D60</f>
        <v>32</v>
      </c>
      <c r="F60" s="102">
        <f t="shared" si="6"/>
        <v>0</v>
      </c>
      <c r="G60" s="102">
        <f t="shared" si="7"/>
        <v>100</v>
      </c>
      <c r="H60" s="24">
        <f>'[6]1.RSP Districts '!H60</f>
        <v>243</v>
      </c>
      <c r="I60" s="222">
        <v>243</v>
      </c>
      <c r="J60" s="24">
        <v>55911</v>
      </c>
      <c r="K60" s="24">
        <v>69685</v>
      </c>
      <c r="L60" s="222">
        <v>69685</v>
      </c>
      <c r="M60" s="102">
        <f t="shared" si="8"/>
        <v>0</v>
      </c>
      <c r="N60" s="102">
        <f t="shared" si="9"/>
        <v>124.6355815492479</v>
      </c>
      <c r="O60" s="24">
        <f>'1.RSP Districts  (2)'!O60</f>
        <v>3129</v>
      </c>
      <c r="P60" s="24">
        <f>'1.RSP Districts  (2)'!P60</f>
        <v>3129</v>
      </c>
      <c r="Q60" s="102">
        <f>(P60-O60)/O60%</f>
        <v>0</v>
      </c>
      <c r="R60" s="26" t="s">
        <v>9</v>
      </c>
      <c r="S60" s="1">
        <v>1</v>
      </c>
      <c r="T60" s="225">
        <f>I60-'[7]1.RSP Districts '!I60</f>
        <v>243</v>
      </c>
      <c r="U60" s="225">
        <f>P60-'[8]1.RSP Districts '!$P$43</f>
        <v>3129</v>
      </c>
    </row>
    <row r="61" spans="1:23" ht="14.25">
      <c r="A61" s="22">
        <v>14</v>
      </c>
      <c r="B61" s="23" t="s">
        <v>65</v>
      </c>
      <c r="C61" s="24">
        <v>38</v>
      </c>
      <c r="D61" s="24">
        <f>'[6]1.RSP Districts '!D61</f>
        <v>38</v>
      </c>
      <c r="E61" s="24">
        <f>D61</f>
        <v>38</v>
      </c>
      <c r="F61" s="102">
        <f t="shared" si="6"/>
        <v>0</v>
      </c>
      <c r="G61" s="102">
        <f t="shared" si="7"/>
        <v>100</v>
      </c>
      <c r="H61" s="24">
        <f>'[6]1.RSP Districts '!H61</f>
        <v>132</v>
      </c>
      <c r="I61" s="222">
        <v>132</v>
      </c>
      <c r="J61" s="24">
        <v>74041</v>
      </c>
      <c r="K61" s="24">
        <v>34916</v>
      </c>
      <c r="L61" s="222">
        <v>34916</v>
      </c>
      <c r="M61" s="102">
        <f t="shared" si="8"/>
        <v>0</v>
      </c>
      <c r="N61" s="102">
        <f t="shared" si="9"/>
        <v>47.157655893356385</v>
      </c>
      <c r="O61" s="24">
        <f>'1.RSP Districts  (2)'!O61</f>
        <v>2301</v>
      </c>
      <c r="P61" s="24">
        <f>'1.RSP Districts  (2)'!P61</f>
        <v>2301</v>
      </c>
      <c r="Q61" s="102">
        <f>(P61-O61)/O61%</f>
        <v>0</v>
      </c>
      <c r="R61" s="26" t="s">
        <v>9</v>
      </c>
      <c r="S61" s="1">
        <v>1</v>
      </c>
      <c r="T61" s="225">
        <f>I61-'[7]1.RSP Districts '!I61</f>
        <v>132</v>
      </c>
      <c r="U61" s="225">
        <f>P61-'[8]1.RSP Districts '!$P$43</f>
        <v>2301</v>
      </c>
    </row>
    <row r="62" spans="1:23" ht="14.25">
      <c r="A62" s="22">
        <v>15</v>
      </c>
      <c r="B62" s="23" t="s">
        <v>197</v>
      </c>
      <c r="C62" s="24">
        <v>33</v>
      </c>
      <c r="D62" s="24">
        <v>0</v>
      </c>
      <c r="E62" s="24"/>
      <c r="F62" s="102">
        <v>0</v>
      </c>
      <c r="G62" s="102">
        <f t="shared" si="7"/>
        <v>0</v>
      </c>
      <c r="H62" s="102"/>
      <c r="I62" s="102"/>
      <c r="J62" s="164">
        <v>48700</v>
      </c>
      <c r="K62" s="24"/>
      <c r="L62" s="24"/>
      <c r="M62" s="102">
        <v>0</v>
      </c>
      <c r="N62" s="102">
        <v>0</v>
      </c>
      <c r="O62" s="24"/>
      <c r="P62" s="25"/>
      <c r="Q62" s="102">
        <v>0</v>
      </c>
      <c r="R62" s="79">
        <v>0</v>
      </c>
      <c r="S62" s="1">
        <v>1</v>
      </c>
    </row>
    <row r="63" spans="1:23" ht="14.25">
      <c r="A63" s="22">
        <v>16</v>
      </c>
      <c r="B63" s="23" t="s">
        <v>66</v>
      </c>
      <c r="C63" s="24">
        <v>28</v>
      </c>
      <c r="D63" s="38">
        <f>'[2]1.RSP Districts '!D63</f>
        <v>25</v>
      </c>
      <c r="E63" s="38">
        <v>25</v>
      </c>
      <c r="F63" s="102">
        <f t="shared" si="6"/>
        <v>0</v>
      </c>
      <c r="G63" s="102">
        <f t="shared" si="7"/>
        <v>89.285714285714278</v>
      </c>
      <c r="H63" s="38">
        <f>'[2]1.RSP Districts '!H63</f>
        <v>193</v>
      </c>
      <c r="I63" s="38">
        <v>193</v>
      </c>
      <c r="J63" s="24">
        <v>45731</v>
      </c>
      <c r="K63" s="38">
        <v>29040</v>
      </c>
      <c r="L63" s="38">
        <v>29040</v>
      </c>
      <c r="M63" s="102">
        <f t="shared" si="8"/>
        <v>0</v>
      </c>
      <c r="N63" s="102">
        <f t="shared" si="9"/>
        <v>63.50178216089742</v>
      </c>
      <c r="O63" s="38">
        <v>1848</v>
      </c>
      <c r="P63" s="38">
        <v>1848</v>
      </c>
      <c r="Q63" s="102">
        <f t="shared" si="10"/>
        <v>0</v>
      </c>
      <c r="R63" s="26" t="s">
        <v>5</v>
      </c>
      <c r="S63" s="1">
        <v>1</v>
      </c>
      <c r="W63" s="225">
        <f>I63-'[3]1.RSP Districts '!I63</f>
        <v>193</v>
      </c>
    </row>
    <row r="64" spans="1:23" ht="14.25">
      <c r="A64" s="22">
        <v>16</v>
      </c>
      <c r="B64" s="23" t="s">
        <v>236</v>
      </c>
      <c r="C64" s="24">
        <v>28</v>
      </c>
      <c r="D64" s="24">
        <f>'[6]1.RSP Districts '!D64</f>
        <v>12</v>
      </c>
      <c r="E64" s="24">
        <v>13</v>
      </c>
      <c r="F64" s="102">
        <f t="shared" si="6"/>
        <v>8.3333333333333339</v>
      </c>
      <c r="G64" s="102">
        <f t="shared" si="7"/>
        <v>46.428571428571423</v>
      </c>
      <c r="H64" s="24">
        <v>43</v>
      </c>
      <c r="I64" s="222">
        <v>43</v>
      </c>
      <c r="J64" s="24">
        <v>45731</v>
      </c>
      <c r="K64" s="24">
        <v>4129</v>
      </c>
      <c r="L64" s="222">
        <v>9946</v>
      </c>
      <c r="M64" s="102">
        <f t="shared" si="8"/>
        <v>140.88156938726084</v>
      </c>
      <c r="N64" s="102">
        <f t="shared" si="9"/>
        <v>21.748923050009839</v>
      </c>
      <c r="O64" s="24">
        <f>'1.RSP Districts  (2)'!O64</f>
        <v>217</v>
      </c>
      <c r="P64" s="24">
        <f>'1.RSP Districts  (2)'!P64</f>
        <v>307</v>
      </c>
      <c r="Q64" s="102">
        <f>(P64-O64)/O64%</f>
        <v>41.474654377880185</v>
      </c>
      <c r="R64" s="26" t="s">
        <v>9</v>
      </c>
      <c r="S64" s="1">
        <v>1</v>
      </c>
      <c r="T64" s="225">
        <f>I64-'[7]1.RSP Districts '!I64</f>
        <v>43</v>
      </c>
      <c r="U64" s="225">
        <f>P64-'[8]1.RSP Districts '!$P$43</f>
        <v>307</v>
      </c>
    </row>
    <row r="65" spans="1:23" ht="14.25">
      <c r="A65" s="22">
        <v>17</v>
      </c>
      <c r="B65" s="23" t="s">
        <v>67</v>
      </c>
      <c r="C65" s="24">
        <v>59</v>
      </c>
      <c r="D65" s="24">
        <f>'[6]1.RSP Districts '!D65</f>
        <v>55</v>
      </c>
      <c r="E65" s="24">
        <f>D65</f>
        <v>55</v>
      </c>
      <c r="F65" s="102">
        <f t="shared" si="6"/>
        <v>0</v>
      </c>
      <c r="G65" s="102">
        <f t="shared" si="7"/>
        <v>93.220338983050851</v>
      </c>
      <c r="H65" s="24">
        <f>'[6]1.RSP Districts '!H65</f>
        <v>390</v>
      </c>
      <c r="I65" s="222">
        <v>390</v>
      </c>
      <c r="J65" s="24">
        <v>167833</v>
      </c>
      <c r="K65" s="24">
        <v>109901</v>
      </c>
      <c r="L65" s="222">
        <f>+K65+665</f>
        <v>110566</v>
      </c>
      <c r="M65" s="102">
        <f t="shared" si="8"/>
        <v>0.60509003557747432</v>
      </c>
      <c r="N65" s="102">
        <f t="shared" si="9"/>
        <v>65.878581685365816</v>
      </c>
      <c r="O65" s="24">
        <f>'1.RSP Districts  (2)'!O65</f>
        <v>3836</v>
      </c>
      <c r="P65" s="24">
        <f>'1.RSP Districts  (2)'!P65</f>
        <v>3865</v>
      </c>
      <c r="Q65" s="102">
        <f>(P65-O65)/O65%</f>
        <v>0.75599582898852968</v>
      </c>
      <c r="R65" s="26" t="s">
        <v>9</v>
      </c>
      <c r="S65" s="1">
        <v>1</v>
      </c>
      <c r="T65" s="225">
        <f>I65-'[7]1.RSP Districts '!I65</f>
        <v>390</v>
      </c>
      <c r="U65" s="225">
        <f>P65-'[8]1.RSP Districts '!$P$43</f>
        <v>3865</v>
      </c>
    </row>
    <row r="66" spans="1:23" ht="14.25">
      <c r="A66" s="22">
        <v>18</v>
      </c>
      <c r="B66" s="23" t="s">
        <v>68</v>
      </c>
      <c r="C66" s="24">
        <v>75</v>
      </c>
      <c r="D66" s="38">
        <f>'[2]1.RSP Districts '!D66</f>
        <v>63</v>
      </c>
      <c r="E66" s="38">
        <v>63</v>
      </c>
      <c r="F66" s="102">
        <f t="shared" si="6"/>
        <v>0</v>
      </c>
      <c r="G66" s="102">
        <f t="shared" si="7"/>
        <v>84</v>
      </c>
      <c r="H66" s="38">
        <f>'[2]1.RSP Districts '!H66</f>
        <v>187</v>
      </c>
      <c r="I66" s="38">
        <v>187</v>
      </c>
      <c r="J66" s="24">
        <v>141386</v>
      </c>
      <c r="K66" s="38">
        <v>53799</v>
      </c>
      <c r="L66" s="38">
        <v>53799</v>
      </c>
      <c r="M66" s="102">
        <f t="shared" si="8"/>
        <v>0</v>
      </c>
      <c r="N66" s="102">
        <f t="shared" si="9"/>
        <v>38.051150750427908</v>
      </c>
      <c r="O66" s="38">
        <v>3781</v>
      </c>
      <c r="P66" s="38">
        <v>3781</v>
      </c>
      <c r="Q66" s="102">
        <f t="shared" si="10"/>
        <v>0</v>
      </c>
      <c r="R66" s="26" t="s">
        <v>5</v>
      </c>
      <c r="S66" s="1">
        <v>1</v>
      </c>
      <c r="W66" s="225">
        <f>I66-'[3]1.RSP Districts '!I66</f>
        <v>187</v>
      </c>
    </row>
    <row r="67" spans="1:23" ht="14.25">
      <c r="A67" s="22">
        <v>18</v>
      </c>
      <c r="B67" s="23" t="s">
        <v>279</v>
      </c>
      <c r="C67" s="24">
        <v>75</v>
      </c>
      <c r="D67" s="24">
        <f>'[6]1.RSP Districts '!D67</f>
        <v>20</v>
      </c>
      <c r="E67" s="24">
        <f>D67</f>
        <v>20</v>
      </c>
      <c r="F67" s="102">
        <f t="shared" si="6"/>
        <v>0</v>
      </c>
      <c r="G67" s="102">
        <f t="shared" si="7"/>
        <v>26.666666666666668</v>
      </c>
      <c r="H67" s="24">
        <f>'[6]1.RSP Districts '!H67</f>
        <v>63</v>
      </c>
      <c r="I67" s="24">
        <f>H67</f>
        <v>63</v>
      </c>
      <c r="J67" s="24">
        <v>141386</v>
      </c>
      <c r="K67" s="24">
        <v>42732</v>
      </c>
      <c r="L67" s="24">
        <v>42732</v>
      </c>
      <c r="M67" s="102">
        <f t="shared" si="8"/>
        <v>0</v>
      </c>
      <c r="N67" s="102">
        <f t="shared" si="9"/>
        <v>30.223643076400776</v>
      </c>
      <c r="O67" s="24">
        <f>'1.RSP Districts  (2)'!O67</f>
        <v>1838</v>
      </c>
      <c r="P67" s="24">
        <f>'1.RSP Districts  (2)'!P67</f>
        <v>1838</v>
      </c>
      <c r="Q67" s="102">
        <f>(P67-O67)/O67%</f>
        <v>0</v>
      </c>
      <c r="R67" s="26" t="s">
        <v>9</v>
      </c>
      <c r="S67" s="1">
        <v>1</v>
      </c>
      <c r="T67" s="225">
        <f>I67-'[7]1.RSP Districts '!I67</f>
        <v>63</v>
      </c>
      <c r="U67" s="225">
        <f>P67-'[8]1.RSP Districts '!$P$43</f>
        <v>1838</v>
      </c>
    </row>
    <row r="68" spans="1:23" ht="14.25">
      <c r="A68" s="22">
        <v>19</v>
      </c>
      <c r="B68" s="23" t="s">
        <v>69</v>
      </c>
      <c r="C68" s="24">
        <v>48</v>
      </c>
      <c r="D68" s="24">
        <f>'[6]1.RSP Districts '!D68</f>
        <v>10</v>
      </c>
      <c r="E68" s="24">
        <f>D68</f>
        <v>10</v>
      </c>
      <c r="F68" s="102">
        <f t="shared" si="6"/>
        <v>0</v>
      </c>
      <c r="G68" s="102">
        <f t="shared" si="7"/>
        <v>20.833333333333336</v>
      </c>
      <c r="H68" s="24">
        <f>'[6]1.RSP Districts '!H68</f>
        <v>33</v>
      </c>
      <c r="I68" s="222">
        <v>33</v>
      </c>
      <c r="J68" s="24">
        <v>84851</v>
      </c>
      <c r="K68" s="24">
        <v>18235</v>
      </c>
      <c r="L68" s="222">
        <f>+K68+588</f>
        <v>18823</v>
      </c>
      <c r="M68" s="102">
        <f t="shared" si="8"/>
        <v>3.2245681381957776</v>
      </c>
      <c r="N68" s="102">
        <f t="shared" si="9"/>
        <v>22.183592414939127</v>
      </c>
      <c r="O68" s="24">
        <f>'1.RSP Districts  (2)'!O68</f>
        <v>783</v>
      </c>
      <c r="P68" s="24">
        <f>'1.RSP Districts  (2)'!P68</f>
        <v>813</v>
      </c>
      <c r="Q68" s="102">
        <f>(P68-O68)/O68%</f>
        <v>3.8314176245210727</v>
      </c>
      <c r="R68" s="26" t="s">
        <v>9</v>
      </c>
      <c r="S68" s="1">
        <v>1</v>
      </c>
      <c r="T68" s="225">
        <f>I68-'[7]1.RSP Districts '!I68</f>
        <v>33</v>
      </c>
      <c r="U68" s="225">
        <f>P68-'[8]1.RSP Districts '!$P$43</f>
        <v>813</v>
      </c>
    </row>
    <row r="69" spans="1:23" ht="14.25">
      <c r="A69" s="22">
        <v>19</v>
      </c>
      <c r="B69" s="23" t="s">
        <v>235</v>
      </c>
      <c r="C69" s="24">
        <v>48</v>
      </c>
      <c r="D69" s="38">
        <f>'[2]1.RSP Districts '!D69</f>
        <v>13</v>
      </c>
      <c r="E69" s="38">
        <v>13</v>
      </c>
      <c r="F69" s="102">
        <f t="shared" si="6"/>
        <v>0</v>
      </c>
      <c r="G69" s="102">
        <f t="shared" si="7"/>
        <v>27.083333333333336</v>
      </c>
      <c r="H69" s="38">
        <f>'[2]1.RSP Districts '!H69</f>
        <v>176</v>
      </c>
      <c r="I69" s="38">
        <v>176</v>
      </c>
      <c r="J69" s="24">
        <v>84851</v>
      </c>
      <c r="K69" s="38">
        <v>3385</v>
      </c>
      <c r="L69" s="38">
        <v>3531</v>
      </c>
      <c r="M69" s="102">
        <f t="shared" si="8"/>
        <v>4.3131462333825699</v>
      </c>
      <c r="N69" s="102">
        <f t="shared" si="9"/>
        <v>4.1614123581336697</v>
      </c>
      <c r="O69" s="38">
        <v>167</v>
      </c>
      <c r="P69" s="38">
        <v>175</v>
      </c>
      <c r="Q69" s="102">
        <f t="shared" si="10"/>
        <v>4.7904191616766472</v>
      </c>
      <c r="R69" s="26" t="s">
        <v>5</v>
      </c>
      <c r="S69" s="1">
        <v>1</v>
      </c>
      <c r="W69" s="225">
        <f>I69-'[3]1.RSP Districts '!I69</f>
        <v>176</v>
      </c>
    </row>
    <row r="70" spans="1:23" ht="14.25">
      <c r="A70" s="22">
        <v>20</v>
      </c>
      <c r="B70" s="23" t="s">
        <v>70</v>
      </c>
      <c r="C70" s="24">
        <v>67</v>
      </c>
      <c r="D70" s="24">
        <f>'[6]1.RSP Districts '!D70</f>
        <v>17</v>
      </c>
      <c r="E70" s="24">
        <f>D70</f>
        <v>17</v>
      </c>
      <c r="F70" s="102">
        <f t="shared" si="6"/>
        <v>0</v>
      </c>
      <c r="G70" s="102">
        <f t="shared" si="7"/>
        <v>25.373134328358208</v>
      </c>
      <c r="H70" s="24">
        <f>'[6]1.RSP Districts '!H70</f>
        <v>55</v>
      </c>
      <c r="I70" s="222">
        <v>55</v>
      </c>
      <c r="J70" s="24">
        <v>132070</v>
      </c>
      <c r="K70" s="24">
        <v>16089</v>
      </c>
      <c r="L70" s="222">
        <f>+K70+823</f>
        <v>16912</v>
      </c>
      <c r="M70" s="102">
        <f t="shared" si="8"/>
        <v>5.115296165081733</v>
      </c>
      <c r="N70" s="102">
        <f t="shared" si="9"/>
        <v>12.805330506549556</v>
      </c>
      <c r="O70" s="24">
        <f>'1.RSP Districts  (2)'!O70</f>
        <v>795</v>
      </c>
      <c r="P70" s="24">
        <f>'1.RSP Districts  (2)'!P70</f>
        <v>830</v>
      </c>
      <c r="Q70" s="102">
        <f>(P70-O70)/O70%</f>
        <v>4.4025157232704402</v>
      </c>
      <c r="R70" s="26" t="s">
        <v>9</v>
      </c>
      <c r="S70" s="1">
        <v>1</v>
      </c>
      <c r="T70" s="225">
        <f>I70-'[7]1.RSP Districts '!I70</f>
        <v>55</v>
      </c>
      <c r="U70" s="225">
        <f>P70-'[8]1.RSP Districts '!$P$43</f>
        <v>830</v>
      </c>
    </row>
    <row r="71" spans="1:23" ht="14.25">
      <c r="A71" s="22">
        <v>21</v>
      </c>
      <c r="B71" s="23" t="s">
        <v>71</v>
      </c>
      <c r="C71" s="24">
        <v>28</v>
      </c>
      <c r="D71" s="24">
        <f>'[6]1.RSP Districts '!D71</f>
        <v>20</v>
      </c>
      <c r="E71" s="24">
        <v>28</v>
      </c>
      <c r="F71" s="102">
        <f t="shared" si="6"/>
        <v>40</v>
      </c>
      <c r="G71" s="102">
        <f t="shared" si="7"/>
        <v>99.999999999999986</v>
      </c>
      <c r="H71" s="24">
        <v>115</v>
      </c>
      <c r="I71" s="222">
        <v>115</v>
      </c>
      <c r="J71" s="24">
        <v>53994</v>
      </c>
      <c r="K71" s="24">
        <v>34688</v>
      </c>
      <c r="L71" s="222">
        <f>+K71+1684</f>
        <v>36372</v>
      </c>
      <c r="M71" s="102">
        <f t="shared" si="8"/>
        <v>4.8547047970479706</v>
      </c>
      <c r="N71" s="102">
        <f t="shared" si="9"/>
        <v>67.363040337815306</v>
      </c>
      <c r="O71" s="24">
        <f>'1.RSP Districts  (2)'!O71</f>
        <v>1970</v>
      </c>
      <c r="P71" s="24">
        <f>'1.RSP Districts  (2)'!P71</f>
        <v>2051</v>
      </c>
      <c r="Q71" s="102">
        <f>(P71-O71)/O71%</f>
        <v>4.1116751269035534</v>
      </c>
      <c r="R71" s="26" t="s">
        <v>9</v>
      </c>
      <c r="S71" s="1">
        <v>1</v>
      </c>
      <c r="T71" s="225">
        <f>I71-'[7]1.RSP Districts '!I71</f>
        <v>115</v>
      </c>
      <c r="U71" s="225">
        <f>P71-'[8]1.RSP Districts '!$P$43</f>
        <v>2051</v>
      </c>
    </row>
    <row r="72" spans="1:23" ht="14.25">
      <c r="A72" s="22">
        <v>22</v>
      </c>
      <c r="B72" s="23" t="s">
        <v>72</v>
      </c>
      <c r="C72" s="24">
        <v>55</v>
      </c>
      <c r="D72" s="24">
        <f>'[9]1.RSP Districts '!D72</f>
        <v>6</v>
      </c>
      <c r="E72" s="24">
        <f>D72</f>
        <v>6</v>
      </c>
      <c r="F72" s="102">
        <f t="shared" si="6"/>
        <v>0</v>
      </c>
      <c r="G72" s="102">
        <f t="shared" si="7"/>
        <v>10.909090909090908</v>
      </c>
      <c r="H72" s="24">
        <f>'[9]1.RSP Districts '!H72</f>
        <v>23</v>
      </c>
      <c r="I72" s="24">
        <f>H72</f>
        <v>23</v>
      </c>
      <c r="J72" s="24">
        <v>112083</v>
      </c>
      <c r="K72" s="24">
        <v>8392</v>
      </c>
      <c r="L72" s="24">
        <v>8522</v>
      </c>
      <c r="M72" s="102">
        <f t="shared" si="8"/>
        <v>1.5490943755958055</v>
      </c>
      <c r="N72" s="102">
        <f t="shared" si="9"/>
        <v>7.6032939874914129</v>
      </c>
      <c r="O72" s="24">
        <v>745</v>
      </c>
      <c r="P72" s="24">
        <v>754</v>
      </c>
      <c r="Q72" s="102">
        <f t="shared" si="10"/>
        <v>1.2080536912751678</v>
      </c>
      <c r="R72" s="26" t="s">
        <v>4</v>
      </c>
      <c r="S72" s="1">
        <v>1</v>
      </c>
    </row>
    <row r="73" spans="1:23" ht="14.25">
      <c r="A73" s="22">
        <v>22</v>
      </c>
      <c r="B73" s="23" t="s">
        <v>73</v>
      </c>
      <c r="C73" s="24">
        <v>55</v>
      </c>
      <c r="D73" s="38">
        <f>'[2]1.RSP Districts '!D73</f>
        <v>38</v>
      </c>
      <c r="E73" s="38">
        <v>38</v>
      </c>
      <c r="F73" s="102">
        <f t="shared" si="6"/>
        <v>0</v>
      </c>
      <c r="G73" s="102">
        <f t="shared" si="7"/>
        <v>69.090909090909079</v>
      </c>
      <c r="H73" s="38">
        <f>'[2]1.RSP Districts '!H73</f>
        <v>179</v>
      </c>
      <c r="I73" s="38">
        <v>179</v>
      </c>
      <c r="J73" s="24">
        <v>112083</v>
      </c>
      <c r="K73" s="38">
        <v>27011</v>
      </c>
      <c r="L73" s="38">
        <v>27857</v>
      </c>
      <c r="M73" s="102">
        <f t="shared" si="8"/>
        <v>3.132057309984821</v>
      </c>
      <c r="N73" s="102">
        <f t="shared" si="9"/>
        <v>24.853902911235426</v>
      </c>
      <c r="O73" s="38">
        <v>1716</v>
      </c>
      <c r="P73" s="38">
        <v>1765</v>
      </c>
      <c r="Q73" s="102">
        <f t="shared" si="10"/>
        <v>2.8554778554778553</v>
      </c>
      <c r="R73" s="26" t="s">
        <v>5</v>
      </c>
      <c r="S73" s="1">
        <v>1</v>
      </c>
      <c r="W73" s="225">
        <f>I73-'[3]1.RSP Districts '!I73</f>
        <v>179</v>
      </c>
    </row>
    <row r="74" spans="1:23" ht="14.25">
      <c r="A74" s="22">
        <v>23</v>
      </c>
      <c r="B74" s="23" t="s">
        <v>74</v>
      </c>
      <c r="C74" s="24">
        <v>65</v>
      </c>
      <c r="D74" s="38">
        <f>'[2]1.RSP Districts '!D74</f>
        <v>19</v>
      </c>
      <c r="E74" s="38">
        <v>19</v>
      </c>
      <c r="F74" s="102">
        <f t="shared" si="6"/>
        <v>0</v>
      </c>
      <c r="G74" s="102">
        <f t="shared" si="7"/>
        <v>29.23076923076923</v>
      </c>
      <c r="H74" s="38">
        <f>'[2]1.RSP Districts '!H74</f>
        <v>224</v>
      </c>
      <c r="I74" s="38">
        <v>224</v>
      </c>
      <c r="J74" s="24">
        <v>125377</v>
      </c>
      <c r="K74" s="38">
        <v>7248</v>
      </c>
      <c r="L74" s="38">
        <v>7507</v>
      </c>
      <c r="M74" s="102">
        <f t="shared" si="8"/>
        <v>3.5733995584988962</v>
      </c>
      <c r="N74" s="102">
        <f t="shared" si="9"/>
        <v>5.9875415746109732</v>
      </c>
      <c r="O74" s="38">
        <v>342</v>
      </c>
      <c r="P74" s="38">
        <v>356</v>
      </c>
      <c r="Q74" s="102">
        <f t="shared" si="10"/>
        <v>4.0935672514619883</v>
      </c>
      <c r="R74" s="26" t="s">
        <v>5</v>
      </c>
      <c r="S74" s="1">
        <v>1</v>
      </c>
      <c r="W74" s="225">
        <f>I74-'[3]1.RSP Districts '!I74</f>
        <v>224</v>
      </c>
    </row>
    <row r="75" spans="1:23" ht="14.25">
      <c r="A75" s="22">
        <v>23</v>
      </c>
      <c r="B75" s="23" t="s">
        <v>75</v>
      </c>
      <c r="C75" s="24">
        <v>65</v>
      </c>
      <c r="D75" s="24">
        <v>65</v>
      </c>
      <c r="E75" s="24">
        <f>D75</f>
        <v>65</v>
      </c>
      <c r="F75" s="102">
        <f t="shared" si="6"/>
        <v>0</v>
      </c>
      <c r="G75" s="102">
        <f t="shared" si="7"/>
        <v>100</v>
      </c>
      <c r="H75" s="24">
        <v>132</v>
      </c>
      <c r="I75" s="24">
        <v>132</v>
      </c>
      <c r="J75" s="24">
        <v>125377</v>
      </c>
      <c r="K75" s="24">
        <v>23560</v>
      </c>
      <c r="L75" s="24">
        <f>+K75+5250</f>
        <v>28810</v>
      </c>
      <c r="M75" s="102">
        <f t="shared" si="8"/>
        <v>22.283531409168081</v>
      </c>
      <c r="N75" s="102">
        <f t="shared" si="9"/>
        <v>22.978696252103656</v>
      </c>
      <c r="O75" s="24">
        <f>'1.RSP Districts  (2)'!O75</f>
        <v>1161</v>
      </c>
      <c r="P75" s="24">
        <f>'1.RSP Districts  (2)'!P75</f>
        <v>1623</v>
      </c>
      <c r="Q75" s="102">
        <f>(P75-O75)/O75%</f>
        <v>39.793281653746774</v>
      </c>
      <c r="R75" s="26" t="s">
        <v>9</v>
      </c>
      <c r="S75" s="1">
        <v>1</v>
      </c>
      <c r="T75" s="225">
        <f>I75-'[7]1.RSP Districts '!I75</f>
        <v>132</v>
      </c>
      <c r="U75" s="225">
        <f>P75-'[8]1.RSP Districts '!$P$43</f>
        <v>1623</v>
      </c>
    </row>
    <row r="76" spans="1:23" thickBot="1">
      <c r="A76" s="36">
        <v>24</v>
      </c>
      <c r="B76" s="37" t="s">
        <v>196</v>
      </c>
      <c r="C76" s="38">
        <v>16</v>
      </c>
      <c r="D76" s="24">
        <v>0</v>
      </c>
      <c r="E76" s="38"/>
      <c r="F76" s="134">
        <v>0</v>
      </c>
      <c r="G76" s="134">
        <f t="shared" si="7"/>
        <v>0</v>
      </c>
      <c r="H76" s="134"/>
      <c r="I76" s="134"/>
      <c r="J76" s="164">
        <v>22411</v>
      </c>
      <c r="K76" s="24"/>
      <c r="L76" s="38"/>
      <c r="M76" s="134">
        <v>0</v>
      </c>
      <c r="N76" s="134">
        <v>0</v>
      </c>
      <c r="O76" s="24"/>
      <c r="P76" s="40"/>
      <c r="Q76" s="134">
        <v>0</v>
      </c>
      <c r="R76" s="88">
        <v>0</v>
      </c>
      <c r="S76" s="1">
        <v>1</v>
      </c>
    </row>
    <row r="77" spans="1:23" s="4" customFormat="1" ht="15.75" thickBot="1">
      <c r="A77" s="150">
        <f>COUNTIF(R43:R76,"*")-10</f>
        <v>21</v>
      </c>
      <c r="B77" s="149" t="s">
        <v>76</v>
      </c>
      <c r="C77" s="56">
        <f>SUM(C43:C76)-(C47+C48+C51+C56+C67+C72+C75+C68+C64+C57)</f>
        <v>964</v>
      </c>
      <c r="D77" s="56">
        <f>SUM(D43:D76)-(D47+D48+D51+D56+D67+D72+D75+D68+D64+D57)</f>
        <v>548</v>
      </c>
      <c r="E77" s="56">
        <f>SUM(E43:E76)-(E47+E48+E51+E56+E67+E72+E75+E68+E64+E57)</f>
        <v>559</v>
      </c>
      <c r="F77" s="151">
        <f t="shared" si="6"/>
        <v>2.0072992700729926</v>
      </c>
      <c r="G77" s="151">
        <f t="shared" si="7"/>
        <v>57.987551867219914</v>
      </c>
      <c r="H77" s="151">
        <f>SUM(H43:H76)</f>
        <v>5002</v>
      </c>
      <c r="I77" s="151">
        <f>SUM(I43:I76)</f>
        <v>5059</v>
      </c>
      <c r="J77" s="56">
        <f>SUM(J43:J76)-(J47+J48+J51+J56+J67+J72+J75+J68+J64+J57)</f>
        <v>1889904</v>
      </c>
      <c r="K77" s="56">
        <f>SUM(K43:K76)</f>
        <v>847961</v>
      </c>
      <c r="L77" s="56">
        <f>SUM(L43:L76)</f>
        <v>921858</v>
      </c>
      <c r="M77" s="151">
        <f t="shared" si="8"/>
        <v>8.714669660515046</v>
      </c>
      <c r="N77" s="151">
        <f t="shared" si="9"/>
        <v>48.778033169938787</v>
      </c>
      <c r="O77" s="218">
        <f>SUM(O43:O76)</f>
        <v>40365</v>
      </c>
      <c r="P77" s="56">
        <f>SUM(P43:P76)</f>
        <v>42261</v>
      </c>
      <c r="Q77" s="151">
        <f t="shared" si="10"/>
        <v>4.6971386101820887</v>
      </c>
      <c r="R77" s="153"/>
      <c r="S77" s="1">
        <v>1</v>
      </c>
    </row>
    <row r="78" spans="1:23" ht="8.25" customHeight="1" thickBot="1">
      <c r="A78" s="12"/>
      <c r="B78" s="13"/>
      <c r="C78" s="58"/>
      <c r="D78" s="27"/>
      <c r="E78" s="27"/>
      <c r="F78" s="103"/>
      <c r="G78" s="103"/>
      <c r="H78" s="103"/>
      <c r="I78" s="103"/>
      <c r="J78" s="58"/>
      <c r="K78" s="27"/>
      <c r="L78" s="27"/>
      <c r="M78" s="27"/>
      <c r="N78" s="27"/>
      <c r="O78" s="27"/>
      <c r="P78" s="27"/>
      <c r="Q78" s="27"/>
      <c r="R78" s="14"/>
      <c r="S78" s="1">
        <v>1</v>
      </c>
    </row>
    <row r="79" spans="1:23" s="5" customFormat="1" ht="14.25">
      <c r="A79" s="17" t="s">
        <v>77</v>
      </c>
      <c r="B79" s="18"/>
      <c r="C79" s="19"/>
      <c r="D79" s="28"/>
      <c r="E79" s="28"/>
      <c r="F79" s="104"/>
      <c r="G79" s="104"/>
      <c r="H79" s="104"/>
      <c r="I79" s="104"/>
      <c r="J79" s="19"/>
      <c r="K79" s="28"/>
      <c r="L79" s="28"/>
      <c r="M79" s="28"/>
      <c r="N79" s="28"/>
      <c r="O79" s="28"/>
      <c r="P79" s="28"/>
      <c r="Q79" s="28"/>
      <c r="R79" s="21"/>
      <c r="S79" s="1">
        <v>1</v>
      </c>
    </row>
    <row r="80" spans="1:23" ht="14.25">
      <c r="A80" s="22">
        <v>1</v>
      </c>
      <c r="B80" s="23" t="s">
        <v>78</v>
      </c>
      <c r="C80" s="24">
        <v>46</v>
      </c>
      <c r="D80" s="38">
        <f>'[2]1.RSP Districts '!D80</f>
        <v>46</v>
      </c>
      <c r="E80" s="38">
        <v>46</v>
      </c>
      <c r="F80" s="102">
        <f t="shared" ref="F80:F104" si="12">(E80-D80)/D80%</f>
        <v>0</v>
      </c>
      <c r="G80" s="102">
        <f t="shared" ref="G80:G104" si="13">E80/C80%</f>
        <v>100</v>
      </c>
      <c r="H80" s="38">
        <f>'[2]1.RSP Districts '!H80</f>
        <v>349</v>
      </c>
      <c r="I80" s="38">
        <v>349</v>
      </c>
      <c r="J80" s="29">
        <v>185266</v>
      </c>
      <c r="K80" s="38">
        <v>107469</v>
      </c>
      <c r="L80" s="38">
        <v>112217</v>
      </c>
      <c r="M80" s="102">
        <f t="shared" ref="M80:M104" si="14">(L80-K80)/K80%</f>
        <v>4.4180182192073989</v>
      </c>
      <c r="N80" s="102">
        <f t="shared" ref="N80:N104" si="15">L80/J80%</f>
        <v>60.570746926041473</v>
      </c>
      <c r="O80" s="38">
        <v>5922</v>
      </c>
      <c r="P80" s="38">
        <v>6205</v>
      </c>
      <c r="Q80" s="102">
        <f t="shared" ref="Q80:Q104" si="16">(P80-O80)/O80%</f>
        <v>4.7787909490037155</v>
      </c>
      <c r="R80" s="30" t="s">
        <v>5</v>
      </c>
      <c r="S80" s="1">
        <v>1</v>
      </c>
      <c r="W80" s="225">
        <f>I80-'[3]1.RSP Districts '!I80</f>
        <v>349</v>
      </c>
    </row>
    <row r="81" spans="1:23" ht="14.25">
      <c r="A81" s="22">
        <v>2</v>
      </c>
      <c r="B81" s="23" t="s">
        <v>79</v>
      </c>
      <c r="C81" s="24">
        <v>52</v>
      </c>
      <c r="D81" s="24">
        <f>'[10]1.RSP Districts '!D81</f>
        <v>30</v>
      </c>
      <c r="E81" s="24">
        <f>D81</f>
        <v>30</v>
      </c>
      <c r="F81" s="102">
        <f t="shared" si="12"/>
        <v>0</v>
      </c>
      <c r="G81" s="102">
        <f t="shared" si="13"/>
        <v>57.692307692307693</v>
      </c>
      <c r="H81" s="24">
        <f>'[10]1.RSP Districts '!H81</f>
        <v>131</v>
      </c>
      <c r="I81" s="24">
        <f>H81</f>
        <v>131</v>
      </c>
      <c r="J81" s="24">
        <v>164849</v>
      </c>
      <c r="K81" s="24">
        <v>37461</v>
      </c>
      <c r="L81" s="24">
        <f>440+K81</f>
        <v>37901</v>
      </c>
      <c r="M81" s="102">
        <f t="shared" si="14"/>
        <v>1.1745548703985478</v>
      </c>
      <c r="N81" s="102">
        <f t="shared" si="15"/>
        <v>22.991343593227743</v>
      </c>
      <c r="O81" s="24">
        <v>1568</v>
      </c>
      <c r="P81" s="24">
        <f>1568+35</f>
        <v>1603</v>
      </c>
      <c r="Q81" s="102">
        <f t="shared" si="16"/>
        <v>2.2321428571428572</v>
      </c>
      <c r="R81" s="31" t="s">
        <v>10</v>
      </c>
      <c r="S81" s="1">
        <v>1</v>
      </c>
      <c r="U81" s="225">
        <f>C81-'[11]1.RSP Districts '!C81</f>
        <v>52</v>
      </c>
    </row>
    <row r="82" spans="1:23" ht="14.25">
      <c r="A82" s="22">
        <v>3</v>
      </c>
      <c r="B82" s="23" t="s">
        <v>80</v>
      </c>
      <c r="C82" s="33">
        <v>46</v>
      </c>
      <c r="D82" s="24">
        <f>'[12]1.RSP Districts '!D82</f>
        <v>37</v>
      </c>
      <c r="E82" s="24">
        <f>D82</f>
        <v>37</v>
      </c>
      <c r="F82" s="102">
        <f t="shared" si="12"/>
        <v>0</v>
      </c>
      <c r="G82" s="102">
        <f t="shared" si="13"/>
        <v>80.434782608695642</v>
      </c>
      <c r="H82" s="24">
        <f>'[12]1.RSP Districts '!H82</f>
        <v>283</v>
      </c>
      <c r="I82" s="24">
        <f>H82</f>
        <v>283</v>
      </c>
      <c r="J82" s="24">
        <v>158489</v>
      </c>
      <c r="K82" s="24">
        <v>123054</v>
      </c>
      <c r="L82" s="24">
        <f>K82</f>
        <v>123054</v>
      </c>
      <c r="M82" s="102">
        <f t="shared" si="14"/>
        <v>0</v>
      </c>
      <c r="N82" s="102">
        <f t="shared" si="15"/>
        <v>77.641981462435879</v>
      </c>
      <c r="O82" s="24">
        <v>6961</v>
      </c>
      <c r="P82" s="24">
        <f>O82</f>
        <v>6961</v>
      </c>
      <c r="Q82" s="102">
        <f t="shared" si="16"/>
        <v>0</v>
      </c>
      <c r="R82" s="30" t="s">
        <v>8</v>
      </c>
      <c r="S82" s="1">
        <v>1</v>
      </c>
    </row>
    <row r="83" spans="1:23" ht="14.25">
      <c r="A83" s="22">
        <v>4</v>
      </c>
      <c r="B83" s="23" t="s">
        <v>81</v>
      </c>
      <c r="C83" s="24">
        <v>37</v>
      </c>
      <c r="D83" s="38">
        <f>'[2]1.RSP Districts '!D83</f>
        <v>20</v>
      </c>
      <c r="E83" s="38">
        <v>20</v>
      </c>
      <c r="F83" s="102">
        <f t="shared" si="12"/>
        <v>0</v>
      </c>
      <c r="G83" s="102">
        <f t="shared" si="13"/>
        <v>54.054054054054056</v>
      </c>
      <c r="H83" s="38">
        <f>'[2]1.RSP Districts '!H83</f>
        <v>121</v>
      </c>
      <c r="I83" s="38">
        <v>121</v>
      </c>
      <c r="J83" s="29">
        <v>128856</v>
      </c>
      <c r="K83" s="38">
        <v>11959</v>
      </c>
      <c r="L83" s="38">
        <v>11979</v>
      </c>
      <c r="M83" s="102">
        <f t="shared" si="14"/>
        <v>0.16723806338322603</v>
      </c>
      <c r="N83" s="102">
        <f t="shared" si="15"/>
        <v>9.296423915067983</v>
      </c>
      <c r="O83" s="38">
        <v>723</v>
      </c>
      <c r="P83" s="38">
        <v>725</v>
      </c>
      <c r="Q83" s="102">
        <f t="shared" si="16"/>
        <v>0.27662517289073302</v>
      </c>
      <c r="R83" s="30" t="s">
        <v>5</v>
      </c>
      <c r="S83" s="1">
        <v>1</v>
      </c>
      <c r="W83" s="225">
        <f>I83-'[3]1.RSP Districts '!I83</f>
        <v>121</v>
      </c>
    </row>
    <row r="84" spans="1:23" ht="14.25">
      <c r="A84" s="22">
        <v>5</v>
      </c>
      <c r="B84" s="23" t="s">
        <v>82</v>
      </c>
      <c r="C84" s="24">
        <v>40</v>
      </c>
      <c r="D84" s="24">
        <f>'[12]1.RSP Districts '!D84</f>
        <v>29</v>
      </c>
      <c r="E84" s="24">
        <f>D84</f>
        <v>29</v>
      </c>
      <c r="F84" s="102">
        <f t="shared" si="12"/>
        <v>0</v>
      </c>
      <c r="G84" s="102">
        <f t="shared" si="13"/>
        <v>72.5</v>
      </c>
      <c r="H84" s="24">
        <f>'[12]1.RSP Districts '!H84</f>
        <v>204</v>
      </c>
      <c r="I84" s="24">
        <f>H84</f>
        <v>204</v>
      </c>
      <c r="J84" s="24">
        <v>90682.077922077922</v>
      </c>
      <c r="K84" s="24">
        <v>84893</v>
      </c>
      <c r="L84" s="24">
        <f>K84</f>
        <v>84893</v>
      </c>
      <c r="M84" s="102">
        <f t="shared" si="14"/>
        <v>0</v>
      </c>
      <c r="N84" s="102">
        <f t="shared" si="15"/>
        <v>93.616072707274739</v>
      </c>
      <c r="O84" s="24">
        <v>5074</v>
      </c>
      <c r="P84" s="24">
        <f>O84</f>
        <v>5074</v>
      </c>
      <c r="Q84" s="102">
        <f t="shared" si="16"/>
        <v>0</v>
      </c>
      <c r="R84" s="30" t="s">
        <v>8</v>
      </c>
      <c r="S84" s="1">
        <v>1</v>
      </c>
    </row>
    <row r="85" spans="1:23" ht="14.25">
      <c r="A85" s="22">
        <v>6</v>
      </c>
      <c r="B85" s="23" t="s">
        <v>83</v>
      </c>
      <c r="C85" s="24">
        <v>28</v>
      </c>
      <c r="D85" s="24">
        <f>'[10]1.RSP Districts '!D85</f>
        <v>12</v>
      </c>
      <c r="E85" s="24">
        <f>D85</f>
        <v>12</v>
      </c>
      <c r="F85" s="102">
        <f t="shared" si="12"/>
        <v>0</v>
      </c>
      <c r="G85" s="102">
        <f t="shared" si="13"/>
        <v>42.857142857142854</v>
      </c>
      <c r="H85" s="24">
        <f>'[10]1.RSP Districts '!H85</f>
        <v>78</v>
      </c>
      <c r="I85" s="24">
        <f>H85</f>
        <v>78</v>
      </c>
      <c r="J85" s="24">
        <v>88816</v>
      </c>
      <c r="K85" s="24">
        <v>26980</v>
      </c>
      <c r="L85" s="24">
        <f>310+K85</f>
        <v>27290</v>
      </c>
      <c r="M85" s="102">
        <f t="shared" si="14"/>
        <v>1.1489992587101556</v>
      </c>
      <c r="N85" s="102">
        <f t="shared" si="15"/>
        <v>30.726445685462082</v>
      </c>
      <c r="O85" s="24">
        <v>571</v>
      </c>
      <c r="P85" s="24">
        <f>O85+24</f>
        <v>595</v>
      </c>
      <c r="Q85" s="102">
        <f t="shared" si="16"/>
        <v>4.2031523642732047</v>
      </c>
      <c r="R85" s="31" t="s">
        <v>10</v>
      </c>
      <c r="S85" s="1">
        <v>1</v>
      </c>
      <c r="U85" s="225">
        <f>C85-'[11]1.RSP Districts '!C85</f>
        <v>28</v>
      </c>
    </row>
    <row r="86" spans="1:23" ht="14.25">
      <c r="A86" s="22">
        <v>7</v>
      </c>
      <c r="B86" s="23" t="s">
        <v>198</v>
      </c>
      <c r="C86" s="24">
        <v>0</v>
      </c>
      <c r="D86" s="24">
        <v>0</v>
      </c>
      <c r="E86" s="24"/>
      <c r="F86" s="102">
        <v>0</v>
      </c>
      <c r="G86" s="102">
        <v>0</v>
      </c>
      <c r="H86" s="102">
        <v>0</v>
      </c>
      <c r="I86" s="102"/>
      <c r="J86" s="24">
        <v>0</v>
      </c>
      <c r="K86" s="24">
        <v>0</v>
      </c>
      <c r="L86" s="24"/>
      <c r="M86" s="102">
        <v>0</v>
      </c>
      <c r="N86" s="102">
        <v>0</v>
      </c>
      <c r="O86" s="24">
        <v>0</v>
      </c>
      <c r="P86" s="25"/>
      <c r="Q86" s="102">
        <v>0</v>
      </c>
      <c r="R86" s="79">
        <v>0</v>
      </c>
      <c r="S86" s="1">
        <v>1</v>
      </c>
    </row>
    <row r="87" spans="1:23" ht="14.25">
      <c r="A87" s="22">
        <v>8</v>
      </c>
      <c r="B87" s="23" t="s">
        <v>84</v>
      </c>
      <c r="C87" s="24">
        <v>37</v>
      </c>
      <c r="D87" s="24">
        <f>'[12]1.RSP Districts '!D87</f>
        <v>37</v>
      </c>
      <c r="E87" s="24">
        <f>D87</f>
        <v>37</v>
      </c>
      <c r="F87" s="102">
        <f t="shared" si="12"/>
        <v>0</v>
      </c>
      <c r="G87" s="102">
        <f t="shared" si="13"/>
        <v>100</v>
      </c>
      <c r="H87" s="24">
        <f>'[12]1.RSP Districts '!H87</f>
        <v>170</v>
      </c>
      <c r="I87" s="24">
        <f>H87</f>
        <v>170</v>
      </c>
      <c r="J87" s="24">
        <v>110969</v>
      </c>
      <c r="K87" s="24">
        <v>80708</v>
      </c>
      <c r="L87" s="24">
        <f>K87</f>
        <v>80708</v>
      </c>
      <c r="M87" s="102">
        <f t="shared" si="14"/>
        <v>0</v>
      </c>
      <c r="N87" s="102">
        <f t="shared" si="15"/>
        <v>72.73022195387901</v>
      </c>
      <c r="O87" s="24">
        <v>4787</v>
      </c>
      <c r="P87" s="24">
        <f>O87</f>
        <v>4787</v>
      </c>
      <c r="Q87" s="102">
        <f t="shared" si="16"/>
        <v>0</v>
      </c>
      <c r="R87" s="30" t="s">
        <v>8</v>
      </c>
      <c r="S87" s="1">
        <v>1</v>
      </c>
    </row>
    <row r="88" spans="1:23" ht="14.25">
      <c r="A88" s="22">
        <v>9</v>
      </c>
      <c r="B88" s="32" t="s">
        <v>85</v>
      </c>
      <c r="C88" s="24">
        <v>76</v>
      </c>
      <c r="D88" s="24">
        <f>'[12]1.RSP Districts '!D88</f>
        <v>49</v>
      </c>
      <c r="E88" s="24">
        <f>D88</f>
        <v>49</v>
      </c>
      <c r="F88" s="102">
        <f t="shared" si="12"/>
        <v>0</v>
      </c>
      <c r="G88" s="102">
        <f t="shared" si="13"/>
        <v>64.473684210526315</v>
      </c>
      <c r="H88" s="24">
        <f>'[12]1.RSP Districts '!H88</f>
        <v>244</v>
      </c>
      <c r="I88" s="24">
        <f>H88</f>
        <v>244</v>
      </c>
      <c r="J88" s="24">
        <v>208270</v>
      </c>
      <c r="K88" s="24">
        <v>70400</v>
      </c>
      <c r="L88" s="24">
        <f>K88</f>
        <v>70400</v>
      </c>
      <c r="M88" s="102">
        <f t="shared" si="14"/>
        <v>0</v>
      </c>
      <c r="N88" s="102">
        <f t="shared" si="15"/>
        <v>33.802275891871133</v>
      </c>
      <c r="O88" s="24">
        <v>4078</v>
      </c>
      <c r="P88" s="24">
        <f>O88</f>
        <v>4078</v>
      </c>
      <c r="Q88" s="102">
        <f t="shared" si="16"/>
        <v>0</v>
      </c>
      <c r="R88" s="30" t="s">
        <v>8</v>
      </c>
      <c r="S88" s="1">
        <v>1</v>
      </c>
    </row>
    <row r="89" spans="1:23" ht="14.25">
      <c r="A89" s="22">
        <v>10</v>
      </c>
      <c r="B89" s="23" t="s">
        <v>86</v>
      </c>
      <c r="C89" s="24">
        <v>44</v>
      </c>
      <c r="D89" s="24">
        <f>'[12]1.RSP Districts '!D89</f>
        <v>38</v>
      </c>
      <c r="E89" s="24">
        <f>D89</f>
        <v>38</v>
      </c>
      <c r="F89" s="102">
        <f t="shared" si="12"/>
        <v>0</v>
      </c>
      <c r="G89" s="102">
        <f t="shared" si="13"/>
        <v>86.36363636363636</v>
      </c>
      <c r="H89" s="24">
        <f>'[12]1.RSP Districts '!H89</f>
        <v>178</v>
      </c>
      <c r="I89" s="24">
        <f>H89</f>
        <v>178</v>
      </c>
      <c r="J89" s="24">
        <v>121639.04761904762</v>
      </c>
      <c r="K89" s="24">
        <v>37589</v>
      </c>
      <c r="L89" s="24">
        <f>K89</f>
        <v>37589</v>
      </c>
      <c r="M89" s="102">
        <f t="shared" si="14"/>
        <v>0</v>
      </c>
      <c r="N89" s="102">
        <f t="shared" si="15"/>
        <v>30.902083447514503</v>
      </c>
      <c r="O89" s="24">
        <v>3605</v>
      </c>
      <c r="P89" s="24">
        <f>O89</f>
        <v>3605</v>
      </c>
      <c r="Q89" s="102">
        <f t="shared" si="16"/>
        <v>0</v>
      </c>
      <c r="R89" s="30" t="s">
        <v>8</v>
      </c>
      <c r="S89" s="1">
        <v>1</v>
      </c>
    </row>
    <row r="90" spans="1:23" ht="14.25">
      <c r="A90" s="22">
        <v>11</v>
      </c>
      <c r="B90" s="23" t="s">
        <v>87</v>
      </c>
      <c r="C90" s="24">
        <v>19</v>
      </c>
      <c r="D90" s="38">
        <f>'[2]1.RSP Districts '!D90</f>
        <v>15</v>
      </c>
      <c r="E90" s="38">
        <v>15</v>
      </c>
      <c r="F90" s="102">
        <f t="shared" si="12"/>
        <v>0</v>
      </c>
      <c r="G90" s="102">
        <f t="shared" si="13"/>
        <v>78.94736842105263</v>
      </c>
      <c r="H90" s="38">
        <f>'[2]1.RSP Districts '!H90</f>
        <v>21</v>
      </c>
      <c r="I90" s="38">
        <v>21</v>
      </c>
      <c r="J90" s="29">
        <v>47026</v>
      </c>
      <c r="K90" s="38">
        <v>23129</v>
      </c>
      <c r="L90" s="38">
        <v>23129</v>
      </c>
      <c r="M90" s="102">
        <f t="shared" si="14"/>
        <v>0</v>
      </c>
      <c r="N90" s="102">
        <f t="shared" si="15"/>
        <v>49.183430442733808</v>
      </c>
      <c r="O90" s="38">
        <v>1770</v>
      </c>
      <c r="P90" s="38">
        <v>1770</v>
      </c>
      <c r="Q90" s="102">
        <f t="shared" si="16"/>
        <v>0</v>
      </c>
      <c r="R90" s="30" t="s">
        <v>5</v>
      </c>
      <c r="S90" s="1">
        <v>1</v>
      </c>
      <c r="W90" s="225">
        <f>I90-'[3]1.RSP Districts '!I90</f>
        <v>21</v>
      </c>
    </row>
    <row r="91" spans="1:23" ht="14.25">
      <c r="A91" s="22">
        <v>12</v>
      </c>
      <c r="B91" s="23" t="s">
        <v>88</v>
      </c>
      <c r="C91" s="24">
        <v>41</v>
      </c>
      <c r="D91" s="38">
        <f>'[2]1.RSP Districts '!D91</f>
        <v>41</v>
      </c>
      <c r="E91" s="38">
        <v>41</v>
      </c>
      <c r="F91" s="102">
        <f t="shared" si="12"/>
        <v>0</v>
      </c>
      <c r="G91" s="102">
        <f t="shared" si="13"/>
        <v>100</v>
      </c>
      <c r="H91" s="38">
        <f>'[2]1.RSP Districts '!H91</f>
        <v>329</v>
      </c>
      <c r="I91" s="38">
        <v>329</v>
      </c>
      <c r="J91" s="29">
        <v>111973</v>
      </c>
      <c r="K91" s="38">
        <v>70985</v>
      </c>
      <c r="L91" s="38">
        <v>74918</v>
      </c>
      <c r="M91" s="102">
        <f t="shared" si="14"/>
        <v>5.5406071705289852</v>
      </c>
      <c r="N91" s="102">
        <f t="shared" si="15"/>
        <v>66.90720084306038</v>
      </c>
      <c r="O91" s="38">
        <v>4178</v>
      </c>
      <c r="P91" s="38">
        <v>4540</v>
      </c>
      <c r="Q91" s="102">
        <f t="shared" si="16"/>
        <v>8.664432742939205</v>
      </c>
      <c r="R91" s="30" t="s">
        <v>5</v>
      </c>
      <c r="S91" s="1">
        <v>1</v>
      </c>
      <c r="W91" s="225">
        <f>I91-'[3]1.RSP Districts '!I91</f>
        <v>329</v>
      </c>
    </row>
    <row r="92" spans="1:23" ht="14.25">
      <c r="A92" s="22">
        <v>13</v>
      </c>
      <c r="B92" s="23" t="s">
        <v>280</v>
      </c>
      <c r="C92" s="24">
        <v>51</v>
      </c>
      <c r="D92" s="24">
        <f>'[12]1.RSP Districts '!D92</f>
        <v>39</v>
      </c>
      <c r="E92" s="24">
        <f>D92</f>
        <v>39</v>
      </c>
      <c r="F92" s="102">
        <f t="shared" si="12"/>
        <v>0</v>
      </c>
      <c r="G92" s="102">
        <f t="shared" si="13"/>
        <v>76.470588235294116</v>
      </c>
      <c r="H92" s="24">
        <f>'[12]1.RSP Districts '!H92</f>
        <v>142</v>
      </c>
      <c r="I92" s="24">
        <f>H92</f>
        <v>142</v>
      </c>
      <c r="J92" s="24">
        <v>164715</v>
      </c>
      <c r="K92" s="24">
        <v>24710</v>
      </c>
      <c r="L92" s="24">
        <f>K92</f>
        <v>24710</v>
      </c>
      <c r="M92" s="102">
        <f t="shared" si="14"/>
        <v>0</v>
      </c>
      <c r="N92" s="102">
        <f t="shared" si="15"/>
        <v>15.001669550435601</v>
      </c>
      <c r="O92" s="24">
        <v>1729</v>
      </c>
      <c r="P92" s="24">
        <f>O92</f>
        <v>1729</v>
      </c>
      <c r="Q92" s="102">
        <f t="shared" si="16"/>
        <v>0</v>
      </c>
      <c r="R92" s="30" t="s">
        <v>8</v>
      </c>
      <c r="S92" s="1">
        <v>1</v>
      </c>
    </row>
    <row r="93" spans="1:23" ht="14.25">
      <c r="A93" s="22">
        <v>14</v>
      </c>
      <c r="B93" s="23" t="s">
        <v>89</v>
      </c>
      <c r="C93" s="24">
        <v>51</v>
      </c>
      <c r="D93" s="38">
        <f>'[2]1.RSP Districts '!D93</f>
        <v>27</v>
      </c>
      <c r="E93" s="38">
        <v>27</v>
      </c>
      <c r="F93" s="102">
        <f t="shared" si="12"/>
        <v>0</v>
      </c>
      <c r="G93" s="102">
        <f t="shared" si="13"/>
        <v>52.941176470588232</v>
      </c>
      <c r="H93" s="38">
        <f>'[2]1.RSP Districts '!H93</f>
        <v>54</v>
      </c>
      <c r="I93" s="38">
        <v>54</v>
      </c>
      <c r="J93" s="29">
        <v>141671</v>
      </c>
      <c r="K93" s="38">
        <v>3092</v>
      </c>
      <c r="L93" s="38">
        <v>3092</v>
      </c>
      <c r="M93" s="102">
        <f t="shared" si="14"/>
        <v>0</v>
      </c>
      <c r="N93" s="102">
        <f t="shared" si="15"/>
        <v>2.1825214758136808</v>
      </c>
      <c r="O93" s="38">
        <v>564</v>
      </c>
      <c r="P93" s="38">
        <v>564</v>
      </c>
      <c r="Q93" s="102">
        <f t="shared" si="16"/>
        <v>0</v>
      </c>
      <c r="R93" s="30" t="s">
        <v>5</v>
      </c>
      <c r="S93" s="1">
        <v>1</v>
      </c>
      <c r="W93" s="225">
        <f>I93-'[3]1.RSP Districts '!I93</f>
        <v>54</v>
      </c>
    </row>
    <row r="94" spans="1:23" ht="14.25">
      <c r="A94" s="22">
        <v>15</v>
      </c>
      <c r="B94" s="23" t="s">
        <v>90</v>
      </c>
      <c r="C94" s="24">
        <v>40</v>
      </c>
      <c r="D94" s="24">
        <f>'[12]1.RSP Districts '!D94</f>
        <v>34</v>
      </c>
      <c r="E94" s="24">
        <f>D94</f>
        <v>34</v>
      </c>
      <c r="F94" s="102">
        <f t="shared" si="12"/>
        <v>0</v>
      </c>
      <c r="G94" s="102">
        <f t="shared" si="13"/>
        <v>85</v>
      </c>
      <c r="H94" s="24">
        <f>'[12]1.RSP Districts '!H94</f>
        <v>236</v>
      </c>
      <c r="I94" s="24">
        <f>H94</f>
        <v>236</v>
      </c>
      <c r="J94" s="24">
        <v>128408</v>
      </c>
      <c r="K94" s="24">
        <v>29475</v>
      </c>
      <c r="L94" s="24">
        <f>K94</f>
        <v>29475</v>
      </c>
      <c r="M94" s="102">
        <f t="shared" si="14"/>
        <v>0</v>
      </c>
      <c r="N94" s="102">
        <f t="shared" si="15"/>
        <v>22.954177309824935</v>
      </c>
      <c r="O94" s="24">
        <v>2221</v>
      </c>
      <c r="P94" s="24">
        <f>O94</f>
        <v>2221</v>
      </c>
      <c r="Q94" s="102">
        <f t="shared" si="16"/>
        <v>0</v>
      </c>
      <c r="R94" s="30" t="s">
        <v>8</v>
      </c>
      <c r="S94" s="1">
        <v>1</v>
      </c>
    </row>
    <row r="95" spans="1:23" ht="14.25">
      <c r="A95" s="22">
        <v>16</v>
      </c>
      <c r="B95" s="23" t="s">
        <v>91</v>
      </c>
      <c r="C95" s="24">
        <v>55</v>
      </c>
      <c r="D95" s="24">
        <v>13</v>
      </c>
      <c r="E95" s="24">
        <f>D95</f>
        <v>13</v>
      </c>
      <c r="F95" s="102">
        <f t="shared" si="12"/>
        <v>0</v>
      </c>
      <c r="G95" s="102">
        <f t="shared" si="13"/>
        <v>23.636363636363633</v>
      </c>
      <c r="H95" s="24">
        <v>260</v>
      </c>
      <c r="I95" s="24">
        <f>H95</f>
        <v>260</v>
      </c>
      <c r="J95" s="24">
        <v>209191</v>
      </c>
      <c r="K95" s="24">
        <v>16500</v>
      </c>
      <c r="L95" s="24">
        <f>K95</f>
        <v>16500</v>
      </c>
      <c r="M95" s="102">
        <f t="shared" si="14"/>
        <v>0</v>
      </c>
      <c r="N95" s="102">
        <f t="shared" si="15"/>
        <v>7.8875286221682579</v>
      </c>
      <c r="O95" s="24">
        <v>860</v>
      </c>
      <c r="P95" s="24">
        <f>O95</f>
        <v>860</v>
      </c>
      <c r="Q95" s="102">
        <f t="shared" si="16"/>
        <v>0</v>
      </c>
      <c r="R95" s="30" t="s">
        <v>7</v>
      </c>
      <c r="S95" s="1">
        <v>1</v>
      </c>
    </row>
    <row r="96" spans="1:23" ht="14.25">
      <c r="A96" s="22">
        <v>17</v>
      </c>
      <c r="B96" s="23" t="s">
        <v>92</v>
      </c>
      <c r="C96" s="24">
        <v>51</v>
      </c>
      <c r="D96" s="24">
        <f>'[12]1.RSP Districts '!D96</f>
        <v>50</v>
      </c>
      <c r="E96" s="24">
        <f>D96</f>
        <v>50</v>
      </c>
      <c r="F96" s="102">
        <f t="shared" si="12"/>
        <v>0</v>
      </c>
      <c r="G96" s="102">
        <f t="shared" si="13"/>
        <v>98.039215686274503</v>
      </c>
      <c r="H96" s="24">
        <f>'[12]1.RSP Districts '!H96</f>
        <v>222</v>
      </c>
      <c r="I96" s="24">
        <f>H96</f>
        <v>222</v>
      </c>
      <c r="J96" s="24">
        <v>122340</v>
      </c>
      <c r="K96" s="24">
        <v>104557</v>
      </c>
      <c r="L96" s="24">
        <f>K96</f>
        <v>104557</v>
      </c>
      <c r="M96" s="102">
        <f t="shared" si="14"/>
        <v>0</v>
      </c>
      <c r="N96" s="102">
        <f t="shared" si="15"/>
        <v>85.464279875756077</v>
      </c>
      <c r="O96" s="24">
        <v>5997</v>
      </c>
      <c r="P96" s="24">
        <f>O96</f>
        <v>5997</v>
      </c>
      <c r="Q96" s="102">
        <f t="shared" si="16"/>
        <v>0</v>
      </c>
      <c r="R96" s="30" t="s">
        <v>8</v>
      </c>
      <c r="S96" s="1">
        <v>1</v>
      </c>
    </row>
    <row r="97" spans="1:23" ht="14.25">
      <c r="A97" s="22">
        <v>18</v>
      </c>
      <c r="B97" s="23" t="s">
        <v>281</v>
      </c>
      <c r="C97" s="24">
        <v>46</v>
      </c>
      <c r="D97" s="24">
        <f>'[12]1.RSP Districts '!D97</f>
        <v>25</v>
      </c>
      <c r="E97" s="24">
        <f>D97</f>
        <v>25</v>
      </c>
      <c r="F97" s="102">
        <f t="shared" si="12"/>
        <v>0</v>
      </c>
      <c r="G97" s="102">
        <f t="shared" si="13"/>
        <v>54.347826086956516</v>
      </c>
      <c r="H97" s="24">
        <f>'[12]1.RSP Districts '!H97</f>
        <v>196</v>
      </c>
      <c r="I97" s="24">
        <f>H97</f>
        <v>196</v>
      </c>
      <c r="J97" s="24">
        <v>78458</v>
      </c>
      <c r="K97" s="24">
        <v>36343</v>
      </c>
      <c r="L97" s="24">
        <f>K97</f>
        <v>36343</v>
      </c>
      <c r="M97" s="102">
        <f t="shared" si="14"/>
        <v>0</v>
      </c>
      <c r="N97" s="102">
        <f t="shared" si="15"/>
        <v>46.321598817201554</v>
      </c>
      <c r="O97" s="24">
        <v>2613</v>
      </c>
      <c r="P97" s="24">
        <f>O97</f>
        <v>2613</v>
      </c>
      <c r="Q97" s="102">
        <f t="shared" si="16"/>
        <v>0</v>
      </c>
      <c r="R97" s="30" t="s">
        <v>8</v>
      </c>
      <c r="S97" s="1">
        <v>1</v>
      </c>
    </row>
    <row r="98" spans="1:23" s="6" customFormat="1" ht="14.25">
      <c r="A98" s="22">
        <v>19</v>
      </c>
      <c r="B98" s="23" t="s">
        <v>93</v>
      </c>
      <c r="C98" s="24">
        <v>19</v>
      </c>
      <c r="D98" s="38">
        <f>'[2]1.RSP Districts '!D98</f>
        <v>12</v>
      </c>
      <c r="E98" s="38">
        <v>12</v>
      </c>
      <c r="F98" s="102">
        <f t="shared" si="12"/>
        <v>0</v>
      </c>
      <c r="G98" s="102">
        <f t="shared" si="13"/>
        <v>63.157894736842103</v>
      </c>
      <c r="H98" s="38">
        <f>'[2]1.RSP Districts '!H98</f>
        <v>19</v>
      </c>
      <c r="I98" s="38">
        <v>19</v>
      </c>
      <c r="J98" s="29">
        <v>47082</v>
      </c>
      <c r="K98" s="38">
        <v>12702</v>
      </c>
      <c r="L98" s="38">
        <v>21838</v>
      </c>
      <c r="M98" s="102">
        <f t="shared" si="14"/>
        <v>71.925680995118881</v>
      </c>
      <c r="N98" s="102">
        <f t="shared" si="15"/>
        <v>46.382906418588846</v>
      </c>
      <c r="O98" s="38">
        <v>1025</v>
      </c>
      <c r="P98" s="38">
        <v>1673</v>
      </c>
      <c r="Q98" s="102">
        <f t="shared" si="16"/>
        <v>63.219512195121951</v>
      </c>
      <c r="R98" s="30" t="s">
        <v>5</v>
      </c>
      <c r="S98" s="1">
        <v>1</v>
      </c>
      <c r="W98" s="225">
        <f>I98-'[3]1.RSP Districts '!I98</f>
        <v>19</v>
      </c>
    </row>
    <row r="99" spans="1:23" s="6" customFormat="1" ht="14.25">
      <c r="A99" s="22">
        <v>20</v>
      </c>
      <c r="B99" s="23" t="s">
        <v>94</v>
      </c>
      <c r="C99" s="24">
        <v>16</v>
      </c>
      <c r="D99" s="38">
        <f>'[2]1.RSP Districts '!D99</f>
        <v>13</v>
      </c>
      <c r="E99" s="38">
        <v>13</v>
      </c>
      <c r="F99" s="102">
        <f t="shared" si="12"/>
        <v>0</v>
      </c>
      <c r="G99" s="102">
        <f t="shared" si="13"/>
        <v>81.25</v>
      </c>
      <c r="H99" s="38">
        <f>'[2]1.RSP Districts '!H99</f>
        <v>66</v>
      </c>
      <c r="I99" s="38">
        <v>66</v>
      </c>
      <c r="J99" s="29">
        <v>39648</v>
      </c>
      <c r="K99" s="38">
        <v>17576</v>
      </c>
      <c r="L99" s="38">
        <v>17576</v>
      </c>
      <c r="M99" s="102">
        <f t="shared" si="14"/>
        <v>0</v>
      </c>
      <c r="N99" s="102">
        <f t="shared" si="15"/>
        <v>44.330104923325258</v>
      </c>
      <c r="O99" s="38">
        <v>1067</v>
      </c>
      <c r="P99" s="38">
        <v>1067</v>
      </c>
      <c r="Q99" s="102">
        <f t="shared" si="16"/>
        <v>0</v>
      </c>
      <c r="R99" s="30" t="s">
        <v>5</v>
      </c>
      <c r="S99" s="1">
        <v>1</v>
      </c>
      <c r="W99" s="225">
        <f>I99-'[3]1.RSP Districts '!I99</f>
        <v>66</v>
      </c>
    </row>
    <row r="100" spans="1:23" s="6" customFormat="1" ht="14.25">
      <c r="A100" s="22">
        <v>21</v>
      </c>
      <c r="B100" s="23" t="s">
        <v>95</v>
      </c>
      <c r="C100" s="24">
        <v>44</v>
      </c>
      <c r="D100" s="24">
        <f>'[10]1.RSP Districts '!D100</f>
        <v>44</v>
      </c>
      <c r="E100" s="24">
        <f>D100</f>
        <v>44</v>
      </c>
      <c r="F100" s="102">
        <f t="shared" si="12"/>
        <v>0</v>
      </c>
      <c r="G100" s="102">
        <f t="shared" si="13"/>
        <v>100</v>
      </c>
      <c r="H100" s="24">
        <f>'[10]1.RSP Districts '!H100</f>
        <v>166</v>
      </c>
      <c r="I100" s="24">
        <f>H100</f>
        <v>166</v>
      </c>
      <c r="J100" s="24">
        <v>159486</v>
      </c>
      <c r="K100" s="24">
        <v>159665</v>
      </c>
      <c r="L100" s="24">
        <f>0+K100</f>
        <v>159665</v>
      </c>
      <c r="M100" s="102">
        <f t="shared" si="14"/>
        <v>0</v>
      </c>
      <c r="N100" s="102">
        <f t="shared" si="15"/>
        <v>100.11223555672599</v>
      </c>
      <c r="O100" s="24">
        <v>11477</v>
      </c>
      <c r="P100" s="24">
        <f>O100</f>
        <v>11477</v>
      </c>
      <c r="Q100" s="102">
        <f t="shared" si="16"/>
        <v>0</v>
      </c>
      <c r="R100" s="31" t="s">
        <v>10</v>
      </c>
      <c r="S100" s="1">
        <v>1</v>
      </c>
      <c r="T100" s="6">
        <f>8</f>
        <v>8</v>
      </c>
      <c r="U100" s="225">
        <f>C100-'[11]1.RSP Districts '!C100</f>
        <v>44</v>
      </c>
    </row>
    <row r="101" spans="1:23" s="6" customFormat="1" ht="14.25">
      <c r="A101" s="22">
        <v>22</v>
      </c>
      <c r="B101" s="23" t="s">
        <v>96</v>
      </c>
      <c r="C101" s="24">
        <v>55</v>
      </c>
      <c r="D101" s="38">
        <f>'[2]1.RSP Districts '!D101</f>
        <v>52</v>
      </c>
      <c r="E101" s="38">
        <v>52</v>
      </c>
      <c r="F101" s="102">
        <f t="shared" si="12"/>
        <v>0</v>
      </c>
      <c r="G101" s="102">
        <f t="shared" si="13"/>
        <v>94.545454545454533</v>
      </c>
      <c r="H101" s="38">
        <f>'[2]1.RSP Districts '!H101</f>
        <v>298</v>
      </c>
      <c r="I101" s="38">
        <v>298</v>
      </c>
      <c r="J101" s="29">
        <v>202554</v>
      </c>
      <c r="K101" s="38">
        <v>39339</v>
      </c>
      <c r="L101" s="38">
        <v>40335</v>
      </c>
      <c r="M101" s="102">
        <f t="shared" si="14"/>
        <v>2.5318386334172196</v>
      </c>
      <c r="N101" s="102">
        <f t="shared" si="15"/>
        <v>19.913208329630617</v>
      </c>
      <c r="O101" s="38">
        <v>2242</v>
      </c>
      <c r="P101" s="38">
        <v>2292</v>
      </c>
      <c r="Q101" s="102">
        <f t="shared" si="16"/>
        <v>2.2301516503122212</v>
      </c>
      <c r="R101" s="30" t="s">
        <v>5</v>
      </c>
      <c r="S101" s="1">
        <v>1</v>
      </c>
      <c r="W101" s="225">
        <f>I101-'[3]1.RSP Districts '!I101</f>
        <v>298</v>
      </c>
    </row>
    <row r="102" spans="1:23" s="6" customFormat="1" ht="14.25">
      <c r="A102" s="36">
        <v>23</v>
      </c>
      <c r="B102" s="37" t="s">
        <v>320</v>
      </c>
      <c r="C102" s="38">
        <v>27</v>
      </c>
      <c r="D102" s="38"/>
      <c r="E102" s="38">
        <v>1</v>
      </c>
      <c r="F102" s="102">
        <f ca="1">-F102</f>
        <v>0</v>
      </c>
      <c r="G102" s="102">
        <f t="shared" si="13"/>
        <v>3.7037037037037033</v>
      </c>
      <c r="H102" s="38"/>
      <c r="I102" s="38">
        <v>5</v>
      </c>
      <c r="J102" s="29">
        <v>202554</v>
      </c>
      <c r="K102" s="38"/>
      <c r="L102" s="38">
        <v>134</v>
      </c>
      <c r="M102" s="134"/>
      <c r="N102" s="134">
        <f t="shared" si="15"/>
        <v>6.6155198120007502E-2</v>
      </c>
      <c r="O102" s="38"/>
      <c r="P102" s="38">
        <v>22</v>
      </c>
      <c r="Q102" s="134"/>
      <c r="R102" s="221" t="s">
        <v>5</v>
      </c>
      <c r="S102" s="1">
        <v>1</v>
      </c>
      <c r="T102" s="6" t="s">
        <v>317</v>
      </c>
      <c r="W102" s="225">
        <f>I102-'[3]1.RSP Districts '!I102</f>
        <v>5</v>
      </c>
    </row>
    <row r="103" spans="1:23" s="6" customFormat="1" thickBot="1">
      <c r="A103" s="36">
        <v>23</v>
      </c>
      <c r="B103" s="37" t="s">
        <v>97</v>
      </c>
      <c r="C103" s="38">
        <v>27</v>
      </c>
      <c r="D103" s="24">
        <f>'[10]1.RSP Districts '!D102</f>
        <v>27</v>
      </c>
      <c r="E103" s="24">
        <f>D103</f>
        <v>27</v>
      </c>
      <c r="F103" s="134">
        <f t="shared" si="12"/>
        <v>0</v>
      </c>
      <c r="G103" s="134">
        <f t="shared" si="13"/>
        <v>100</v>
      </c>
      <c r="H103" s="24">
        <f>'[10]1.RSP Districts '!H102</f>
        <v>186</v>
      </c>
      <c r="I103" s="24">
        <f>H103</f>
        <v>186</v>
      </c>
      <c r="J103" s="38">
        <v>106515</v>
      </c>
      <c r="K103" s="24">
        <v>44752</v>
      </c>
      <c r="L103" s="24">
        <f>376+K103</f>
        <v>45128</v>
      </c>
      <c r="M103" s="134">
        <f t="shared" si="14"/>
        <v>0.84018591347872729</v>
      </c>
      <c r="N103" s="134">
        <f t="shared" si="15"/>
        <v>42.367741632633894</v>
      </c>
      <c r="O103" s="24">
        <v>2748</v>
      </c>
      <c r="P103" s="24">
        <f>O103+20</f>
        <v>2768</v>
      </c>
      <c r="Q103" s="134">
        <f t="shared" si="16"/>
        <v>0.72780203784570596</v>
      </c>
      <c r="R103" s="41" t="s">
        <v>10</v>
      </c>
      <c r="S103" s="1">
        <v>1</v>
      </c>
      <c r="U103" s="225">
        <f>C103-'[11]1.RSP Districts '!C103</f>
        <v>27</v>
      </c>
    </row>
    <row r="104" spans="1:23" s="4" customFormat="1" ht="15.75" thickBot="1">
      <c r="A104" s="150">
        <f>COUNTIF(R80:R103,"*")-1</f>
        <v>22</v>
      </c>
      <c r="B104" s="149" t="s">
        <v>76</v>
      </c>
      <c r="C104" s="56">
        <f>SUM(C80:C103)-C102</f>
        <v>921</v>
      </c>
      <c r="D104" s="56">
        <f>SUM(D80:D103)-D102</f>
        <v>690</v>
      </c>
      <c r="E104" s="56">
        <f>SUM(E80:E103)-E102</f>
        <v>690</v>
      </c>
      <c r="F104" s="151">
        <f t="shared" si="12"/>
        <v>0</v>
      </c>
      <c r="G104" s="151">
        <f t="shared" si="13"/>
        <v>74.918566775244287</v>
      </c>
      <c r="H104" s="151">
        <f>SUM(H80:H103)</f>
        <v>3953</v>
      </c>
      <c r="I104" s="151">
        <f>SUM(I80:I103)</f>
        <v>3958</v>
      </c>
      <c r="J104" s="56">
        <f>SUM(J80:J103)-J102</f>
        <v>2816903.1255411254</v>
      </c>
      <c r="K104" s="56">
        <f>SUM(K80:K103)</f>
        <v>1163338</v>
      </c>
      <c r="L104" s="56">
        <f>SUM(L80:L103)</f>
        <v>1183431</v>
      </c>
      <c r="M104" s="151">
        <f t="shared" si="14"/>
        <v>1.7271850485413527</v>
      </c>
      <c r="N104" s="151">
        <f t="shared" si="15"/>
        <v>42.011774891004237</v>
      </c>
      <c r="O104" s="56">
        <f>SUM(O80:O103)</f>
        <v>71780</v>
      </c>
      <c r="P104" s="56">
        <f>SUM(P80:P103)</f>
        <v>73226</v>
      </c>
      <c r="Q104" s="151">
        <f t="shared" si="16"/>
        <v>2.0144887155196436</v>
      </c>
      <c r="R104" s="153"/>
      <c r="S104" s="1">
        <v>1</v>
      </c>
    </row>
    <row r="105" spans="1:23" ht="5.25" customHeight="1" thickBot="1">
      <c r="A105" s="34"/>
      <c r="B105" s="35"/>
      <c r="C105" s="27"/>
      <c r="D105" s="27"/>
      <c r="E105" s="27"/>
      <c r="F105" s="103"/>
      <c r="G105" s="103"/>
      <c r="H105" s="103"/>
      <c r="I105" s="103"/>
      <c r="J105" s="27"/>
      <c r="K105" s="27"/>
      <c r="L105" s="27"/>
      <c r="M105" s="27"/>
      <c r="N105" s="27"/>
      <c r="O105" s="27"/>
      <c r="P105" s="27"/>
      <c r="Q105" s="27"/>
      <c r="R105" s="14"/>
      <c r="S105" s="1">
        <v>1</v>
      </c>
    </row>
    <row r="106" spans="1:23" s="5" customFormat="1" ht="14.25">
      <c r="A106" s="17" t="s">
        <v>98</v>
      </c>
      <c r="B106" s="18"/>
      <c r="C106" s="19"/>
      <c r="D106" s="28"/>
      <c r="E106" s="28"/>
      <c r="F106" s="104"/>
      <c r="G106" s="104"/>
      <c r="H106" s="104"/>
      <c r="I106" s="104"/>
      <c r="J106" s="19"/>
      <c r="K106" s="28"/>
      <c r="L106" s="28"/>
      <c r="M106" s="28"/>
      <c r="N106" s="28"/>
      <c r="O106" s="28"/>
      <c r="P106" s="28"/>
      <c r="Q106" s="28"/>
      <c r="R106" s="21"/>
      <c r="S106" s="1">
        <v>1</v>
      </c>
    </row>
    <row r="107" spans="1:23" s="6" customFormat="1" ht="14.25">
      <c r="A107" s="22">
        <v>1</v>
      </c>
      <c r="B107" s="23" t="s">
        <v>99</v>
      </c>
      <c r="C107" s="29">
        <v>65</v>
      </c>
      <c r="D107" s="24">
        <f>'[9]1.RSP Districts '!D106</f>
        <v>12</v>
      </c>
      <c r="E107" s="24">
        <f>D107</f>
        <v>12</v>
      </c>
      <c r="F107" s="102">
        <f t="shared" ref="F107:F157" si="17">(E107-D107)/D107%</f>
        <v>0</v>
      </c>
      <c r="G107" s="102">
        <f t="shared" ref="G107:G157" si="18">E107/C107%</f>
        <v>18.46153846153846</v>
      </c>
      <c r="H107" s="24">
        <f>'[9]1.RSP Districts '!H106</f>
        <v>69</v>
      </c>
      <c r="I107" s="24">
        <f>H107</f>
        <v>69</v>
      </c>
      <c r="J107" s="24">
        <v>164849</v>
      </c>
      <c r="K107" s="24">
        <v>18862</v>
      </c>
      <c r="L107" s="24">
        <v>19012</v>
      </c>
      <c r="M107" s="102">
        <f t="shared" ref="M107:M157" si="19">(L107-K107)/K107%</f>
        <v>0.79524970840844023</v>
      </c>
      <c r="N107" s="102">
        <f t="shared" ref="N107:N157" si="20">L107/J107%</f>
        <v>11.532978665324023</v>
      </c>
      <c r="O107" s="24">
        <v>1617</v>
      </c>
      <c r="P107" s="24">
        <v>1627</v>
      </c>
      <c r="Q107" s="102">
        <f t="shared" ref="Q107:Q157" si="21">(P107-O107)/O107%</f>
        <v>0.61842918985776119</v>
      </c>
      <c r="R107" s="31" t="s">
        <v>4</v>
      </c>
      <c r="S107" s="1">
        <v>1</v>
      </c>
      <c r="T107" s="157"/>
    </row>
    <row r="108" spans="1:23" ht="14.25">
      <c r="A108" s="22">
        <v>1</v>
      </c>
      <c r="B108" s="23" t="s">
        <v>100</v>
      </c>
      <c r="C108" s="24">
        <v>65</v>
      </c>
      <c r="D108" s="38">
        <f>'[2]1.RSP Districts '!D107</f>
        <v>64</v>
      </c>
      <c r="E108" s="38">
        <f t="shared" ref="E108:E112" si="22">D108</f>
        <v>64</v>
      </c>
      <c r="F108" s="102">
        <f t="shared" si="17"/>
        <v>0</v>
      </c>
      <c r="G108" s="102">
        <f t="shared" si="18"/>
        <v>98.461538461538453</v>
      </c>
      <c r="H108" s="38">
        <f>'[2]1.RSP Districts '!H107</f>
        <v>454</v>
      </c>
      <c r="I108" s="38">
        <f t="shared" ref="I108:I112" si="23">H108</f>
        <v>454</v>
      </c>
      <c r="J108" s="24">
        <v>164849</v>
      </c>
      <c r="K108" s="38">
        <v>66651</v>
      </c>
      <c r="L108" s="38">
        <f>K108</f>
        <v>66651</v>
      </c>
      <c r="M108" s="102">
        <f t="shared" si="19"/>
        <v>0</v>
      </c>
      <c r="N108" s="102">
        <f t="shared" si="20"/>
        <v>40.431546445535005</v>
      </c>
      <c r="O108" s="38">
        <v>4318</v>
      </c>
      <c r="P108" s="38">
        <f>O108</f>
        <v>4318</v>
      </c>
      <c r="Q108" s="102">
        <f t="shared" si="21"/>
        <v>0</v>
      </c>
      <c r="R108" s="26" t="s">
        <v>5</v>
      </c>
      <c r="S108" s="1">
        <v>1</v>
      </c>
      <c r="T108" s="157"/>
      <c r="W108" s="225">
        <f>I108-'[3]1.RSP Districts '!I108</f>
        <v>454</v>
      </c>
    </row>
    <row r="109" spans="1:23" s="6" customFormat="1" ht="14.25">
      <c r="A109" s="22">
        <v>2</v>
      </c>
      <c r="B109" s="23" t="s">
        <v>101</v>
      </c>
      <c r="C109" s="24">
        <v>101</v>
      </c>
      <c r="D109" s="38">
        <f>'[2]1.RSP Districts '!D108</f>
        <v>101</v>
      </c>
      <c r="E109" s="38">
        <f t="shared" si="22"/>
        <v>101</v>
      </c>
      <c r="F109" s="102">
        <f t="shared" si="17"/>
        <v>0</v>
      </c>
      <c r="G109" s="102">
        <f t="shared" si="18"/>
        <v>100</v>
      </c>
      <c r="H109" s="38">
        <f>'[2]1.RSP Districts '!H108</f>
        <v>869</v>
      </c>
      <c r="I109" s="38">
        <f t="shared" si="23"/>
        <v>869</v>
      </c>
      <c r="J109" s="29">
        <v>158489</v>
      </c>
      <c r="K109" s="38">
        <v>215627</v>
      </c>
      <c r="L109" s="38">
        <v>220279</v>
      </c>
      <c r="M109" s="102">
        <f t="shared" si="19"/>
        <v>2.1574292644242141</v>
      </c>
      <c r="N109" s="102">
        <f t="shared" si="20"/>
        <v>138.98693284707454</v>
      </c>
      <c r="O109" s="38">
        <v>15566</v>
      </c>
      <c r="P109" s="38">
        <v>15810</v>
      </c>
      <c r="Q109" s="102">
        <f t="shared" si="21"/>
        <v>1.5675189515610948</v>
      </c>
      <c r="R109" s="31" t="s">
        <v>5</v>
      </c>
      <c r="S109" s="1">
        <v>1</v>
      </c>
      <c r="T109" s="157"/>
      <c r="W109" s="225">
        <f>I109-'[3]1.RSP Districts '!I109</f>
        <v>869</v>
      </c>
    </row>
    <row r="110" spans="1:23" s="6" customFormat="1" ht="14.25">
      <c r="A110" s="22">
        <v>3</v>
      </c>
      <c r="B110" s="23" t="s">
        <v>102</v>
      </c>
      <c r="C110" s="24">
        <v>97</v>
      </c>
      <c r="D110" s="38">
        <f>'[2]1.RSP Districts '!D109</f>
        <v>97</v>
      </c>
      <c r="E110" s="38">
        <f t="shared" si="22"/>
        <v>97</v>
      </c>
      <c r="F110" s="102">
        <f t="shared" si="17"/>
        <v>0</v>
      </c>
      <c r="G110" s="102">
        <f t="shared" si="18"/>
        <v>100</v>
      </c>
      <c r="H110" s="38">
        <f>'[2]1.RSP Districts '!H109</f>
        <v>609</v>
      </c>
      <c r="I110" s="38">
        <f t="shared" si="23"/>
        <v>609</v>
      </c>
      <c r="J110" s="29">
        <v>128856</v>
      </c>
      <c r="K110" s="38">
        <v>266949</v>
      </c>
      <c r="L110" s="38">
        <v>276169</v>
      </c>
      <c r="M110" s="102">
        <f t="shared" si="19"/>
        <v>3.4538432434659807</v>
      </c>
      <c r="N110" s="102">
        <f t="shared" si="20"/>
        <v>214.32374123052091</v>
      </c>
      <c r="O110" s="38">
        <v>17978</v>
      </c>
      <c r="P110" s="38">
        <v>18467</v>
      </c>
      <c r="Q110" s="102">
        <f t="shared" si="21"/>
        <v>2.719991100233619</v>
      </c>
      <c r="R110" s="31" t="s">
        <v>5</v>
      </c>
      <c r="S110" s="1">
        <v>1</v>
      </c>
      <c r="T110" s="157"/>
      <c r="W110" s="225">
        <f>I110-'[3]1.RSP Districts '!I110</f>
        <v>609</v>
      </c>
    </row>
    <row r="111" spans="1:23" s="6" customFormat="1" ht="14.25">
      <c r="A111" s="22">
        <v>4</v>
      </c>
      <c r="B111" s="23" t="s">
        <v>103</v>
      </c>
      <c r="C111" s="24">
        <v>42</v>
      </c>
      <c r="D111" s="38">
        <f>'[2]1.RSP Districts '!D110</f>
        <v>40</v>
      </c>
      <c r="E111" s="38">
        <f t="shared" si="22"/>
        <v>40</v>
      </c>
      <c r="F111" s="102">
        <f t="shared" si="17"/>
        <v>0</v>
      </c>
      <c r="G111" s="102">
        <f t="shared" si="18"/>
        <v>95.238095238095241</v>
      </c>
      <c r="H111" s="38">
        <f>'[2]1.RSP Districts '!H110</f>
        <v>530</v>
      </c>
      <c r="I111" s="38">
        <f t="shared" si="23"/>
        <v>530</v>
      </c>
      <c r="J111" s="29">
        <v>90682.077922077922</v>
      </c>
      <c r="K111" s="38">
        <v>153702</v>
      </c>
      <c r="L111" s="38">
        <v>156617</v>
      </c>
      <c r="M111" s="102">
        <f t="shared" si="19"/>
        <v>1.8965270458419539</v>
      </c>
      <c r="N111" s="102">
        <f t="shared" si="20"/>
        <v>172.70998149665164</v>
      </c>
      <c r="O111" s="38">
        <v>9653</v>
      </c>
      <c r="P111" s="38">
        <v>9838</v>
      </c>
      <c r="Q111" s="102">
        <f t="shared" si="21"/>
        <v>1.9165026416658033</v>
      </c>
      <c r="R111" s="31" t="s">
        <v>5</v>
      </c>
      <c r="S111" s="1">
        <v>1</v>
      </c>
      <c r="T111" s="157"/>
      <c r="W111" s="225">
        <f>I111-'[3]1.RSP Districts '!I111</f>
        <v>530</v>
      </c>
    </row>
    <row r="112" spans="1:23" s="6" customFormat="1" ht="14.25">
      <c r="A112" s="22">
        <v>5</v>
      </c>
      <c r="B112" s="23" t="s">
        <v>104</v>
      </c>
      <c r="C112" s="24">
        <v>65</v>
      </c>
      <c r="D112" s="38">
        <f>'[2]1.RSP Districts '!D111</f>
        <v>60</v>
      </c>
      <c r="E112" s="38">
        <f t="shared" si="22"/>
        <v>60</v>
      </c>
      <c r="F112" s="102">
        <f t="shared" si="17"/>
        <v>0</v>
      </c>
      <c r="G112" s="102">
        <f t="shared" si="18"/>
        <v>92.307692307692307</v>
      </c>
      <c r="H112" s="38">
        <f>'[2]1.RSP Districts '!H111</f>
        <v>418</v>
      </c>
      <c r="I112" s="38">
        <f t="shared" si="23"/>
        <v>418</v>
      </c>
      <c r="J112" s="29">
        <v>88816</v>
      </c>
      <c r="K112" s="38">
        <v>70289</v>
      </c>
      <c r="L112" s="38">
        <v>70886</v>
      </c>
      <c r="M112" s="102">
        <f t="shared" si="19"/>
        <v>0.84935053849108677</v>
      </c>
      <c r="N112" s="102">
        <f t="shared" si="20"/>
        <v>79.81219600072059</v>
      </c>
      <c r="O112" s="38">
        <v>3834</v>
      </c>
      <c r="P112" s="38">
        <v>3861</v>
      </c>
      <c r="Q112" s="102">
        <f t="shared" si="21"/>
        <v>0.70422535211267601</v>
      </c>
      <c r="R112" s="31" t="s">
        <v>5</v>
      </c>
      <c r="S112" s="1">
        <v>1</v>
      </c>
      <c r="T112" s="157"/>
      <c r="W112" s="225">
        <f>I112-'[3]1.RSP Districts '!I112</f>
        <v>418</v>
      </c>
    </row>
    <row r="113" spans="1:23" s="6" customFormat="1" ht="14.25">
      <c r="A113" s="22">
        <v>6</v>
      </c>
      <c r="B113" s="23" t="s">
        <v>224</v>
      </c>
      <c r="C113" s="24">
        <v>42</v>
      </c>
      <c r="D113" s="24">
        <v>0</v>
      </c>
      <c r="E113" s="24">
        <v>0</v>
      </c>
      <c r="F113" s="102">
        <v>0</v>
      </c>
      <c r="G113" s="102">
        <f t="shared" si="18"/>
        <v>0</v>
      </c>
      <c r="H113" s="24">
        <v>0</v>
      </c>
      <c r="I113" s="24">
        <v>0</v>
      </c>
      <c r="J113" s="166">
        <v>81625.384615384493</v>
      </c>
      <c r="K113" s="24">
        <v>1069</v>
      </c>
      <c r="L113" s="24">
        <v>1069</v>
      </c>
      <c r="M113" s="102">
        <f t="shared" si="19"/>
        <v>0</v>
      </c>
      <c r="N113" s="102">
        <v>0</v>
      </c>
      <c r="O113" s="24">
        <v>60</v>
      </c>
      <c r="P113" s="24">
        <f>'[13]1.RSP Districts '!S112</f>
        <v>60</v>
      </c>
      <c r="Q113" s="102">
        <f t="shared" si="21"/>
        <v>0</v>
      </c>
      <c r="R113" s="79" t="s">
        <v>6</v>
      </c>
      <c r="S113" s="1">
        <v>1</v>
      </c>
      <c r="T113" s="157"/>
    </row>
    <row r="114" spans="1:23" s="6" customFormat="1" ht="14.25">
      <c r="A114" s="22">
        <v>6</v>
      </c>
      <c r="B114" s="23" t="s">
        <v>318</v>
      </c>
      <c r="C114" s="24">
        <v>42</v>
      </c>
      <c r="D114" s="38">
        <v>0</v>
      </c>
      <c r="E114" s="38">
        <v>1</v>
      </c>
      <c r="F114" s="102">
        <f ca="1">-F114</f>
        <v>0</v>
      </c>
      <c r="G114" s="102">
        <f t="shared" si="18"/>
        <v>2.3809523809523809</v>
      </c>
      <c r="H114" s="38"/>
      <c r="I114" s="38">
        <v>10</v>
      </c>
      <c r="J114" s="166">
        <f>J113</f>
        <v>81625.384615384493</v>
      </c>
      <c r="K114" s="38"/>
      <c r="L114" s="24">
        <v>605</v>
      </c>
      <c r="M114" s="102"/>
      <c r="N114" s="102">
        <f t="shared" ref="N114" si="24">L114/J114%</f>
        <v>0.74119099450585801</v>
      </c>
      <c r="O114" s="38"/>
      <c r="P114" s="24">
        <v>56</v>
      </c>
      <c r="Q114" s="102"/>
      <c r="R114" s="79" t="s">
        <v>5</v>
      </c>
      <c r="S114" s="1"/>
      <c r="T114" s="157" t="s">
        <v>319</v>
      </c>
      <c r="W114" s="225">
        <f>I114-'[3]1.RSP Districts '!I114</f>
        <v>10</v>
      </c>
    </row>
    <row r="115" spans="1:23" s="6" customFormat="1" ht="14.25">
      <c r="A115" s="22">
        <v>7</v>
      </c>
      <c r="B115" s="23" t="s">
        <v>105</v>
      </c>
      <c r="C115" s="24">
        <v>55</v>
      </c>
      <c r="D115" s="38">
        <f>'[2]1.RSP Districts '!D113</f>
        <v>50</v>
      </c>
      <c r="E115" s="38">
        <f t="shared" ref="E115:E156" si="25">D115</f>
        <v>50</v>
      </c>
      <c r="F115" s="102">
        <f t="shared" si="17"/>
        <v>0</v>
      </c>
      <c r="G115" s="102">
        <f t="shared" si="18"/>
        <v>90.909090909090907</v>
      </c>
      <c r="H115" s="38">
        <f>'[2]1.RSP Districts '!H113</f>
        <v>492</v>
      </c>
      <c r="I115" s="38">
        <f t="shared" ref="I115:I156" si="26">H115</f>
        <v>492</v>
      </c>
      <c r="J115" s="24">
        <v>208270</v>
      </c>
      <c r="K115" s="38">
        <v>133665</v>
      </c>
      <c r="L115" s="38">
        <v>134294</v>
      </c>
      <c r="M115" s="102">
        <f t="shared" si="19"/>
        <v>0.47057943365877375</v>
      </c>
      <c r="N115" s="102">
        <f t="shared" si="20"/>
        <v>64.480722139530428</v>
      </c>
      <c r="O115" s="38">
        <v>9671</v>
      </c>
      <c r="P115" s="38">
        <v>9695</v>
      </c>
      <c r="Q115" s="102">
        <f t="shared" si="21"/>
        <v>0.24816461586185504</v>
      </c>
      <c r="R115" s="31" t="s">
        <v>5</v>
      </c>
      <c r="S115" s="1">
        <v>1</v>
      </c>
      <c r="T115" s="157"/>
      <c r="W115" s="225">
        <f>I115-'[3]1.RSP Districts '!I115</f>
        <v>492</v>
      </c>
    </row>
    <row r="116" spans="1:23" s="6" customFormat="1" ht="14.25">
      <c r="A116" s="22">
        <v>7</v>
      </c>
      <c r="B116" s="23" t="s">
        <v>225</v>
      </c>
      <c r="C116" s="24">
        <v>55</v>
      </c>
      <c r="D116" s="24">
        <f>'[14]1.RSP Districts '!D114</f>
        <v>0</v>
      </c>
      <c r="E116" s="24">
        <f>'[13]1.RSP Districts '!$F$114</f>
        <v>0</v>
      </c>
      <c r="F116" s="102">
        <v>0</v>
      </c>
      <c r="G116" s="102">
        <f t="shared" si="18"/>
        <v>0</v>
      </c>
      <c r="H116" s="24">
        <f>H113</f>
        <v>0</v>
      </c>
      <c r="I116" s="24">
        <f t="shared" si="26"/>
        <v>0</v>
      </c>
      <c r="J116" s="24">
        <v>208270</v>
      </c>
      <c r="K116" s="24">
        <v>20260</v>
      </c>
      <c r="L116" s="24">
        <v>20260</v>
      </c>
      <c r="M116" s="102">
        <f t="shared" si="19"/>
        <v>0</v>
      </c>
      <c r="N116" s="102">
        <f t="shared" si="20"/>
        <v>9.7277572382004145</v>
      </c>
      <c r="O116" s="24">
        <v>1302</v>
      </c>
      <c r="P116" s="24">
        <f>'[13]1.RSP Districts '!S114</f>
        <v>1302</v>
      </c>
      <c r="Q116" s="102">
        <f t="shared" si="21"/>
        <v>0</v>
      </c>
      <c r="R116" s="31" t="s">
        <v>6</v>
      </c>
      <c r="S116" s="1">
        <v>1</v>
      </c>
      <c r="T116" s="157"/>
    </row>
    <row r="117" spans="1:23" s="6" customFormat="1" ht="14.25">
      <c r="A117" s="22">
        <v>8</v>
      </c>
      <c r="B117" s="23" t="s">
        <v>106</v>
      </c>
      <c r="C117" s="24">
        <v>71</v>
      </c>
      <c r="D117" s="24">
        <f>'[14]1.RSP Districts '!D115</f>
        <v>71</v>
      </c>
      <c r="E117" s="24">
        <f>'[13]1.RSP Districts '!$F$115</f>
        <v>71</v>
      </c>
      <c r="F117" s="102">
        <f t="shared" si="17"/>
        <v>0</v>
      </c>
      <c r="G117" s="102">
        <f t="shared" si="18"/>
        <v>100</v>
      </c>
      <c r="H117" s="24">
        <f>'[14]1.RSP Districts '!I115</f>
        <v>336</v>
      </c>
      <c r="I117" s="24">
        <f t="shared" si="26"/>
        <v>336</v>
      </c>
      <c r="J117" s="24">
        <v>121639.04761904762</v>
      </c>
      <c r="K117" s="24">
        <v>62399</v>
      </c>
      <c r="L117" s="24">
        <f>61005+1394+1441</f>
        <v>63840</v>
      </c>
      <c r="M117" s="102">
        <f t="shared" si="19"/>
        <v>2.3093318803185947</v>
      </c>
      <c r="N117" s="102">
        <f t="shared" si="20"/>
        <v>52.483146859169594</v>
      </c>
      <c r="O117" s="24">
        <v>4071</v>
      </c>
      <c r="P117" s="24">
        <f>'[13]1.RSP Districts '!S115</f>
        <v>4161</v>
      </c>
      <c r="Q117" s="102">
        <f t="shared" si="21"/>
        <v>2.210759027266028</v>
      </c>
      <c r="R117" s="31" t="s">
        <v>6</v>
      </c>
      <c r="S117" s="1">
        <v>1</v>
      </c>
      <c r="T117" s="157"/>
    </row>
    <row r="118" spans="1:23" s="6" customFormat="1" ht="14.25">
      <c r="A118" s="22">
        <v>9</v>
      </c>
      <c r="B118" s="23" t="s">
        <v>107</v>
      </c>
      <c r="C118" s="24">
        <v>97</v>
      </c>
      <c r="D118" s="24">
        <f>'[14]1.RSP Districts '!D116</f>
        <v>62</v>
      </c>
      <c r="E118" s="24">
        <f>'[13]1.RSP Districts '!$F$116</f>
        <v>62</v>
      </c>
      <c r="F118" s="102">
        <f t="shared" si="17"/>
        <v>0</v>
      </c>
      <c r="G118" s="102">
        <f t="shared" si="18"/>
        <v>63.917525773195877</v>
      </c>
      <c r="H118" s="24">
        <f>'[14]1.RSP Districts '!I116</f>
        <v>372</v>
      </c>
      <c r="I118" s="24">
        <f t="shared" si="26"/>
        <v>372</v>
      </c>
      <c r="J118" s="24">
        <v>47026</v>
      </c>
      <c r="K118" s="24">
        <v>55975</v>
      </c>
      <c r="L118" s="24">
        <f>54211+1764+1666</f>
        <v>57641</v>
      </c>
      <c r="M118" s="102">
        <f t="shared" si="19"/>
        <v>2.9763287181777578</v>
      </c>
      <c r="N118" s="102">
        <f t="shared" si="20"/>
        <v>122.57261940203293</v>
      </c>
      <c r="O118" s="24">
        <v>3113</v>
      </c>
      <c r="P118" s="24">
        <f>'[13]1.RSP Districts '!S116</f>
        <v>3177</v>
      </c>
      <c r="Q118" s="102">
        <f t="shared" si="21"/>
        <v>2.0558946353999357</v>
      </c>
      <c r="R118" s="31" t="s">
        <v>6</v>
      </c>
      <c r="S118" s="1">
        <v>1</v>
      </c>
      <c r="T118" s="157"/>
    </row>
    <row r="119" spans="1:23" s="6" customFormat="1" ht="14.25">
      <c r="A119" s="22">
        <v>10</v>
      </c>
      <c r="B119" s="23" t="s">
        <v>108</v>
      </c>
      <c r="C119" s="24">
        <v>87</v>
      </c>
      <c r="D119" s="24">
        <f>'[14]1.RSP Districts '!D117</f>
        <v>35</v>
      </c>
      <c r="E119" s="24">
        <f>'[13]1.RSP Districts '!$F$117</f>
        <v>35</v>
      </c>
      <c r="F119" s="102">
        <f t="shared" si="17"/>
        <v>0</v>
      </c>
      <c r="G119" s="102">
        <f t="shared" si="18"/>
        <v>40.229885057471265</v>
      </c>
      <c r="H119" s="24">
        <v>370</v>
      </c>
      <c r="I119" s="24">
        <f t="shared" si="26"/>
        <v>370</v>
      </c>
      <c r="J119" s="24">
        <v>111973</v>
      </c>
      <c r="K119" s="24">
        <v>49649</v>
      </c>
      <c r="L119" s="24">
        <f>48630+1019+1237</f>
        <v>50886</v>
      </c>
      <c r="M119" s="102">
        <f t="shared" si="19"/>
        <v>2.4914902616366894</v>
      </c>
      <c r="N119" s="102">
        <f t="shared" si="20"/>
        <v>45.444884034544039</v>
      </c>
      <c r="O119" s="24">
        <v>3142</v>
      </c>
      <c r="P119" s="24">
        <f>'[13]1.RSP Districts '!S117</f>
        <v>3204</v>
      </c>
      <c r="Q119" s="102">
        <f t="shared" si="21"/>
        <v>1.9732654360280075</v>
      </c>
      <c r="R119" s="31" t="s">
        <v>6</v>
      </c>
      <c r="S119" s="1">
        <v>1</v>
      </c>
      <c r="T119" s="157"/>
    </row>
    <row r="120" spans="1:23" s="6" customFormat="1" ht="14.25">
      <c r="A120" s="22">
        <v>11</v>
      </c>
      <c r="B120" s="23" t="s">
        <v>109</v>
      </c>
      <c r="C120" s="24">
        <v>40</v>
      </c>
      <c r="D120" s="24">
        <f>'[14]1.RSP Districts '!D118</f>
        <v>16</v>
      </c>
      <c r="E120" s="24">
        <f>'[13]1.RSP Districts '!$F$118</f>
        <v>16</v>
      </c>
      <c r="F120" s="102">
        <f t="shared" si="17"/>
        <v>0</v>
      </c>
      <c r="G120" s="102">
        <f t="shared" si="18"/>
        <v>40</v>
      </c>
      <c r="H120" s="24">
        <f>'[14]1.RSP Districts '!I118</f>
        <v>108</v>
      </c>
      <c r="I120" s="24">
        <f t="shared" si="26"/>
        <v>108</v>
      </c>
      <c r="J120" s="24">
        <v>164715</v>
      </c>
      <c r="K120" s="24">
        <v>29896</v>
      </c>
      <c r="L120" s="24">
        <f>29089+807+787</f>
        <v>30683</v>
      </c>
      <c r="M120" s="102">
        <f t="shared" si="19"/>
        <v>2.6324591918651326</v>
      </c>
      <c r="N120" s="102">
        <f t="shared" si="20"/>
        <v>18.627933096560724</v>
      </c>
      <c r="O120" s="24">
        <v>1835</v>
      </c>
      <c r="P120" s="24">
        <f>'[13]1.RSP Districts '!S118</f>
        <v>1883</v>
      </c>
      <c r="Q120" s="102">
        <f t="shared" si="21"/>
        <v>2.6158038147138964</v>
      </c>
      <c r="R120" s="31" t="s">
        <v>6</v>
      </c>
      <c r="S120" s="1">
        <v>1</v>
      </c>
      <c r="T120" s="157"/>
    </row>
    <row r="121" spans="1:23" s="6" customFormat="1" ht="14.25">
      <c r="A121" s="22">
        <v>11</v>
      </c>
      <c r="B121" s="23" t="s">
        <v>268</v>
      </c>
      <c r="C121" s="24">
        <v>40</v>
      </c>
      <c r="D121" s="38">
        <v>48</v>
      </c>
      <c r="E121" s="38">
        <f t="shared" si="25"/>
        <v>48</v>
      </c>
      <c r="F121" s="102">
        <f t="shared" ref="F121" si="27">(E121-D121)/D121%</f>
        <v>0</v>
      </c>
      <c r="G121" s="102">
        <f t="shared" ref="G121" si="28">E121/C121%</f>
        <v>120</v>
      </c>
      <c r="H121" s="38">
        <v>184</v>
      </c>
      <c r="I121" s="38">
        <f t="shared" si="26"/>
        <v>184</v>
      </c>
      <c r="J121" s="24">
        <v>164715</v>
      </c>
      <c r="K121" s="38">
        <v>1422</v>
      </c>
      <c r="L121" s="38">
        <v>1347</v>
      </c>
      <c r="M121" s="102">
        <f t="shared" ref="M121" si="29">(L121-K121)/K121%</f>
        <v>-5.2742616033755274</v>
      </c>
      <c r="N121" s="102">
        <f t="shared" ref="N121" si="30">L121/J121%</f>
        <v>0.81777615881977961</v>
      </c>
      <c r="O121" s="38">
        <v>127</v>
      </c>
      <c r="P121" s="38">
        <v>118</v>
      </c>
      <c r="Q121" s="102">
        <f t="shared" ref="Q121" si="31">(P121-O121)/O121%</f>
        <v>-7.0866141732283463</v>
      </c>
      <c r="R121" s="31" t="s">
        <v>5</v>
      </c>
      <c r="S121" s="1">
        <v>1</v>
      </c>
      <c r="T121" s="157" t="s">
        <v>269</v>
      </c>
      <c r="W121" s="225">
        <f>I121-'[3]1.RSP Districts '!I121</f>
        <v>184</v>
      </c>
    </row>
    <row r="122" spans="1:23" s="6" customFormat="1" ht="14.25">
      <c r="A122" s="22">
        <v>12</v>
      </c>
      <c r="B122" s="23" t="s">
        <v>110</v>
      </c>
      <c r="C122" s="24">
        <v>79</v>
      </c>
      <c r="D122" s="24">
        <f>'[14]1.RSP Districts '!D120</f>
        <v>21</v>
      </c>
      <c r="E122" s="24">
        <f>'[13]1.RSP Districts '!$F$119</f>
        <v>21</v>
      </c>
      <c r="F122" s="102">
        <f t="shared" si="17"/>
        <v>0</v>
      </c>
      <c r="G122" s="102">
        <f t="shared" si="18"/>
        <v>26.582278481012658</v>
      </c>
      <c r="H122" s="24">
        <f>'[14]1.RSP Districts '!I120</f>
        <v>181</v>
      </c>
      <c r="I122" s="24">
        <f t="shared" si="26"/>
        <v>181</v>
      </c>
      <c r="J122" s="24">
        <v>141671</v>
      </c>
      <c r="K122" s="24">
        <v>28667</v>
      </c>
      <c r="L122" s="24">
        <f>28048+619+708</f>
        <v>29375</v>
      </c>
      <c r="M122" s="102">
        <f t="shared" si="19"/>
        <v>2.4697387239683257</v>
      </c>
      <c r="N122" s="102">
        <f t="shared" si="20"/>
        <v>20.734659880991874</v>
      </c>
      <c r="O122" s="24">
        <v>1962</v>
      </c>
      <c r="P122" s="24">
        <f>'[13]1.RSP Districts '!S119</f>
        <v>2009</v>
      </c>
      <c r="Q122" s="102">
        <f t="shared" si="21"/>
        <v>2.3955147808358817</v>
      </c>
      <c r="R122" s="31" t="s">
        <v>6</v>
      </c>
      <c r="S122" s="1">
        <v>1</v>
      </c>
      <c r="T122" s="157"/>
    </row>
    <row r="123" spans="1:23" s="6" customFormat="1" ht="14.25">
      <c r="A123" s="22">
        <v>13</v>
      </c>
      <c r="B123" s="23" t="s">
        <v>111</v>
      </c>
      <c r="C123" s="24">
        <v>50</v>
      </c>
      <c r="D123" s="38">
        <f>'[2]1.RSP Districts '!D121</f>
        <v>35</v>
      </c>
      <c r="E123" s="38">
        <f t="shared" si="25"/>
        <v>35</v>
      </c>
      <c r="F123" s="102">
        <f t="shared" si="17"/>
        <v>0</v>
      </c>
      <c r="G123" s="102">
        <f t="shared" si="18"/>
        <v>70</v>
      </c>
      <c r="H123" s="38">
        <f>'[2]1.RSP Districts '!H121</f>
        <v>637</v>
      </c>
      <c r="I123" s="38">
        <f t="shared" si="26"/>
        <v>637</v>
      </c>
      <c r="J123" s="29">
        <v>128408</v>
      </c>
      <c r="K123" s="38">
        <v>42032</v>
      </c>
      <c r="L123" s="38">
        <v>42507</v>
      </c>
      <c r="M123" s="102">
        <f t="shared" si="19"/>
        <v>1.1300913589645984</v>
      </c>
      <c r="N123" s="102">
        <f t="shared" si="20"/>
        <v>33.103077689863561</v>
      </c>
      <c r="O123" s="38">
        <v>2395</v>
      </c>
      <c r="P123" s="38">
        <v>2426</v>
      </c>
      <c r="Q123" s="102">
        <f t="shared" si="21"/>
        <v>1.2943632567849688</v>
      </c>
      <c r="R123" s="31" t="s">
        <v>5</v>
      </c>
      <c r="S123" s="1">
        <v>1</v>
      </c>
      <c r="T123" s="157"/>
      <c r="W123" s="225">
        <f>I123-'[3]1.RSP Districts '!I123</f>
        <v>637</v>
      </c>
    </row>
    <row r="124" spans="1:23" s="6" customFormat="1" ht="14.25">
      <c r="A124" s="22">
        <v>14</v>
      </c>
      <c r="B124" s="23" t="s">
        <v>112</v>
      </c>
      <c r="C124" s="24">
        <v>89</v>
      </c>
      <c r="D124" s="24">
        <f>'[14]1.RSP Districts '!D122</f>
        <v>7</v>
      </c>
      <c r="E124" s="24">
        <f>'[13]1.RSP Districts '!$F$121</f>
        <v>7</v>
      </c>
      <c r="F124" s="102">
        <f t="shared" si="17"/>
        <v>0</v>
      </c>
      <c r="G124" s="102">
        <f t="shared" si="18"/>
        <v>7.8651685393258424</v>
      </c>
      <c r="H124" s="24">
        <f>'[14]1.RSP Districts '!I122</f>
        <v>20</v>
      </c>
      <c r="I124" s="24">
        <f t="shared" si="26"/>
        <v>20</v>
      </c>
      <c r="J124" s="24">
        <v>122340</v>
      </c>
      <c r="K124" s="24">
        <v>11592</v>
      </c>
      <c r="L124" s="24">
        <f>11323+269+285</f>
        <v>11877</v>
      </c>
      <c r="M124" s="102">
        <f t="shared" si="19"/>
        <v>2.4585921325051761</v>
      </c>
      <c r="N124" s="102">
        <f t="shared" si="20"/>
        <v>9.7081902893575283</v>
      </c>
      <c r="O124" s="24">
        <v>894</v>
      </c>
      <c r="P124" s="24">
        <f>'[13]1.RSP Districts '!S121</f>
        <v>915</v>
      </c>
      <c r="Q124" s="102">
        <f t="shared" si="21"/>
        <v>2.348993288590604</v>
      </c>
      <c r="R124" s="31" t="s">
        <v>6</v>
      </c>
      <c r="S124" s="1">
        <v>1</v>
      </c>
      <c r="T124" s="157"/>
    </row>
    <row r="125" spans="1:23" s="6" customFormat="1" ht="14.25">
      <c r="A125" s="22">
        <v>15</v>
      </c>
      <c r="B125" s="23" t="s">
        <v>113</v>
      </c>
      <c r="C125" s="24">
        <v>98</v>
      </c>
      <c r="D125" s="24">
        <v>20</v>
      </c>
      <c r="E125" s="24">
        <f>'[13]1.RSP Districts '!$F$122</f>
        <v>21</v>
      </c>
      <c r="F125" s="102">
        <f t="shared" si="17"/>
        <v>5</v>
      </c>
      <c r="G125" s="102">
        <f t="shared" si="18"/>
        <v>21.428571428571431</v>
      </c>
      <c r="H125" s="24">
        <f>'[14]1.RSP Districts '!I123</f>
        <v>129</v>
      </c>
      <c r="I125" s="24">
        <f t="shared" si="26"/>
        <v>129</v>
      </c>
      <c r="J125" s="24">
        <v>122340</v>
      </c>
      <c r="K125" s="24">
        <v>28154</v>
      </c>
      <c r="L125" s="24">
        <f>27240+914+887</f>
        <v>29041</v>
      </c>
      <c r="M125" s="102">
        <f t="shared" si="19"/>
        <v>3.1505292320806988</v>
      </c>
      <c r="N125" s="102">
        <f t="shared" si="20"/>
        <v>23.737943436324993</v>
      </c>
      <c r="O125" s="24">
        <v>1737</v>
      </c>
      <c r="P125" s="24">
        <f>'[13]1.RSP Districts '!S122</f>
        <v>1794</v>
      </c>
      <c r="Q125" s="102">
        <f t="shared" si="21"/>
        <v>3.2815198618307426</v>
      </c>
      <c r="R125" s="31" t="s">
        <v>6</v>
      </c>
      <c r="S125" s="1">
        <v>1</v>
      </c>
      <c r="T125" s="157"/>
    </row>
    <row r="126" spans="1:23" ht="14.25">
      <c r="A126" s="22">
        <v>15</v>
      </c>
      <c r="B126" s="23" t="s">
        <v>114</v>
      </c>
      <c r="C126" s="24">
        <v>98</v>
      </c>
      <c r="D126" s="38">
        <f>'[2]1.RSP Districts '!D124</f>
        <v>70</v>
      </c>
      <c r="E126" s="38">
        <f t="shared" si="25"/>
        <v>70</v>
      </c>
      <c r="F126" s="102">
        <f t="shared" si="17"/>
        <v>0</v>
      </c>
      <c r="G126" s="102">
        <f t="shared" si="18"/>
        <v>71.428571428571431</v>
      </c>
      <c r="H126" s="38">
        <f>'[2]1.RSP Districts '!H124</f>
        <v>305</v>
      </c>
      <c r="I126" s="38">
        <f t="shared" si="26"/>
        <v>305</v>
      </c>
      <c r="J126" s="24">
        <v>78458</v>
      </c>
      <c r="K126" s="38">
        <v>17775</v>
      </c>
      <c r="L126" s="38">
        <f>K126</f>
        <v>17775</v>
      </c>
      <c r="M126" s="102">
        <f t="shared" si="19"/>
        <v>0</v>
      </c>
      <c r="N126" s="102">
        <f t="shared" si="20"/>
        <v>22.655433480333425</v>
      </c>
      <c r="O126" s="38">
        <v>1662</v>
      </c>
      <c r="P126" s="38">
        <f>O126</f>
        <v>1662</v>
      </c>
      <c r="Q126" s="102">
        <f t="shared" si="21"/>
        <v>0</v>
      </c>
      <c r="R126" s="26" t="s">
        <v>5</v>
      </c>
      <c r="S126" s="1">
        <v>1</v>
      </c>
      <c r="T126" s="157"/>
      <c r="W126" s="225">
        <f>I126-'[3]1.RSP Districts '!I126</f>
        <v>305</v>
      </c>
    </row>
    <row r="127" spans="1:23" s="6" customFormat="1" ht="14.25">
      <c r="A127" s="22">
        <v>16</v>
      </c>
      <c r="B127" s="23" t="s">
        <v>115</v>
      </c>
      <c r="C127" s="24">
        <v>49</v>
      </c>
      <c r="D127" s="38">
        <f>'[2]1.RSP Districts '!D125</f>
        <v>45</v>
      </c>
      <c r="E127" s="38">
        <f t="shared" si="25"/>
        <v>45</v>
      </c>
      <c r="F127" s="102">
        <f t="shared" si="17"/>
        <v>0</v>
      </c>
      <c r="G127" s="102">
        <f t="shared" si="18"/>
        <v>91.83673469387756</v>
      </c>
      <c r="H127" s="38">
        <f>'[2]1.RSP Districts '!H125</f>
        <v>329</v>
      </c>
      <c r="I127" s="38">
        <f t="shared" si="26"/>
        <v>329</v>
      </c>
      <c r="J127" s="29">
        <v>47082</v>
      </c>
      <c r="K127" s="38">
        <v>138454</v>
      </c>
      <c r="L127" s="38">
        <v>142955</v>
      </c>
      <c r="M127" s="102">
        <f t="shared" si="19"/>
        <v>3.2508992156239618</v>
      </c>
      <c r="N127" s="102">
        <f t="shared" si="20"/>
        <v>303.62983730512724</v>
      </c>
      <c r="O127" s="38">
        <v>7945</v>
      </c>
      <c r="P127" s="38">
        <v>8200</v>
      </c>
      <c r="Q127" s="102">
        <f t="shared" si="21"/>
        <v>3.2095657646318436</v>
      </c>
      <c r="R127" s="31" t="s">
        <v>5</v>
      </c>
      <c r="S127" s="1">
        <v>1</v>
      </c>
      <c r="T127" s="157"/>
      <c r="W127" s="225">
        <f>I127-'[3]1.RSP Districts '!I127</f>
        <v>329</v>
      </c>
    </row>
    <row r="128" spans="1:23" s="6" customFormat="1" ht="14.25">
      <c r="A128" s="22">
        <v>17</v>
      </c>
      <c r="B128" s="23" t="s">
        <v>116</v>
      </c>
      <c r="C128" s="24">
        <v>30</v>
      </c>
      <c r="D128" s="24">
        <f>'[14]1.RSP Districts '!D126</f>
        <v>27</v>
      </c>
      <c r="E128" s="24">
        <f>'[13]1.RSP Districts '!$F$125</f>
        <v>27</v>
      </c>
      <c r="F128" s="102">
        <f t="shared" si="17"/>
        <v>0</v>
      </c>
      <c r="G128" s="102">
        <f t="shared" si="18"/>
        <v>90</v>
      </c>
      <c r="H128" s="24">
        <f>'[14]1.RSP Districts '!I126</f>
        <v>156</v>
      </c>
      <c r="I128" s="24">
        <f t="shared" si="26"/>
        <v>156</v>
      </c>
      <c r="J128" s="24">
        <v>39648</v>
      </c>
      <c r="K128" s="24">
        <v>42139</v>
      </c>
      <c r="L128" s="24">
        <f>41319+820+954</f>
        <v>43093</v>
      </c>
      <c r="M128" s="102">
        <f t="shared" si="19"/>
        <v>2.2639360212629631</v>
      </c>
      <c r="N128" s="102">
        <f t="shared" si="20"/>
        <v>108.68896287328491</v>
      </c>
      <c r="O128" s="24">
        <v>2845</v>
      </c>
      <c r="P128" s="24">
        <f>'[13]1.RSP Districts '!S125</f>
        <v>2921</v>
      </c>
      <c r="Q128" s="102">
        <f t="shared" si="21"/>
        <v>2.6713532513181022</v>
      </c>
      <c r="R128" s="31" t="s">
        <v>6</v>
      </c>
      <c r="S128" s="1">
        <v>1</v>
      </c>
      <c r="T128" s="157"/>
    </row>
    <row r="129" spans="1:23" s="6" customFormat="1" ht="14.25">
      <c r="A129" s="22">
        <v>18</v>
      </c>
      <c r="B129" s="23" t="s">
        <v>117</v>
      </c>
      <c r="C129" s="24">
        <v>44</v>
      </c>
      <c r="D129" s="24">
        <f>'[14]1.RSP Districts '!D127</f>
        <v>24</v>
      </c>
      <c r="E129" s="24">
        <f>'[13]1.RSP Districts '!$F$126</f>
        <v>26</v>
      </c>
      <c r="F129" s="102">
        <f t="shared" si="17"/>
        <v>8.3333333333333339</v>
      </c>
      <c r="G129" s="102">
        <f t="shared" si="18"/>
        <v>59.090909090909093</v>
      </c>
      <c r="H129" s="24">
        <f>'[14]1.RSP Districts '!I127</f>
        <v>346</v>
      </c>
      <c r="I129" s="24">
        <f t="shared" si="26"/>
        <v>346</v>
      </c>
      <c r="J129" s="24">
        <v>159486</v>
      </c>
      <c r="K129" s="24">
        <v>124392</v>
      </c>
      <c r="L129" s="24">
        <f>122284+2108+2037</f>
        <v>126429</v>
      </c>
      <c r="M129" s="102">
        <f t="shared" si="19"/>
        <v>1.6375651167277638</v>
      </c>
      <c r="N129" s="102">
        <f t="shared" si="20"/>
        <v>79.272788834129642</v>
      </c>
      <c r="O129" s="24">
        <v>8231</v>
      </c>
      <c r="P129" s="24">
        <f>'[13]1.RSP Districts '!S126</f>
        <v>8362</v>
      </c>
      <c r="Q129" s="102">
        <f t="shared" si="21"/>
        <v>1.5915441623132061</v>
      </c>
      <c r="R129" s="31" t="s">
        <v>6</v>
      </c>
      <c r="S129" s="1">
        <v>1</v>
      </c>
      <c r="T129" s="157"/>
    </row>
    <row r="130" spans="1:23" s="6" customFormat="1" ht="14.25">
      <c r="A130" s="22">
        <v>19</v>
      </c>
      <c r="B130" s="23" t="s">
        <v>118</v>
      </c>
      <c r="C130" s="24">
        <v>70</v>
      </c>
      <c r="D130" s="38">
        <f>'[2]1.RSP Districts '!D128</f>
        <v>70</v>
      </c>
      <c r="E130" s="38">
        <f t="shared" si="25"/>
        <v>70</v>
      </c>
      <c r="F130" s="102">
        <f t="shared" si="17"/>
        <v>0</v>
      </c>
      <c r="G130" s="102">
        <f t="shared" si="18"/>
        <v>100</v>
      </c>
      <c r="H130" s="38">
        <f>'[2]1.RSP Districts '!H128</f>
        <v>386</v>
      </c>
      <c r="I130" s="38">
        <f t="shared" si="26"/>
        <v>386</v>
      </c>
      <c r="J130" s="29">
        <v>202554</v>
      </c>
      <c r="K130" s="38">
        <v>46705</v>
      </c>
      <c r="L130" s="38">
        <f>K130</f>
        <v>46705</v>
      </c>
      <c r="M130" s="102">
        <f t="shared" si="19"/>
        <v>0</v>
      </c>
      <c r="N130" s="102">
        <f t="shared" si="20"/>
        <v>23.058048717872765</v>
      </c>
      <c r="O130" s="38">
        <v>3886</v>
      </c>
      <c r="P130" s="38">
        <f>O130</f>
        <v>3886</v>
      </c>
      <c r="Q130" s="102">
        <f t="shared" si="21"/>
        <v>0</v>
      </c>
      <c r="R130" s="31" t="s">
        <v>5</v>
      </c>
      <c r="S130" s="1">
        <v>1</v>
      </c>
      <c r="T130" s="157"/>
      <c r="W130" s="225">
        <f>I130-'[3]1.RSP Districts '!I130</f>
        <v>386</v>
      </c>
    </row>
    <row r="131" spans="1:23" s="6" customFormat="1" ht="14.25">
      <c r="A131" s="22">
        <v>19</v>
      </c>
      <c r="B131" s="23" t="s">
        <v>218</v>
      </c>
      <c r="C131" s="24">
        <v>70</v>
      </c>
      <c r="D131" s="24">
        <f>'[14]1.RSP Districts '!D129</f>
        <v>5</v>
      </c>
      <c r="E131" s="24">
        <f>'[13]1.RSP Districts '!$F$128</f>
        <v>6</v>
      </c>
      <c r="F131" s="102">
        <f t="shared" si="17"/>
        <v>20</v>
      </c>
      <c r="G131" s="102">
        <f t="shared" si="18"/>
        <v>8.5714285714285712</v>
      </c>
      <c r="H131" s="24">
        <f>'[14]1.RSP Districts '!I129</f>
        <v>14</v>
      </c>
      <c r="I131" s="24">
        <f t="shared" si="26"/>
        <v>14</v>
      </c>
      <c r="J131" s="29">
        <v>202554</v>
      </c>
      <c r="K131" s="24">
        <v>5751</v>
      </c>
      <c r="L131" s="24">
        <f>4712+1039+850</f>
        <v>6601</v>
      </c>
      <c r="M131" s="102">
        <f t="shared" si="19"/>
        <v>14.780038254216658</v>
      </c>
      <c r="N131" s="102">
        <f t="shared" si="20"/>
        <v>3.2588840506729069</v>
      </c>
      <c r="O131" s="24">
        <v>382</v>
      </c>
      <c r="P131" s="24">
        <f>'[13]1.RSP Districts '!S128</f>
        <v>440</v>
      </c>
      <c r="Q131" s="102">
        <f t="shared" si="21"/>
        <v>15.183246073298429</v>
      </c>
      <c r="R131" s="31" t="s">
        <v>6</v>
      </c>
      <c r="S131" s="1">
        <v>1</v>
      </c>
      <c r="T131" s="157"/>
    </row>
    <row r="132" spans="1:23" s="6" customFormat="1" ht="14.25">
      <c r="A132" s="22">
        <v>20</v>
      </c>
      <c r="B132" s="23" t="s">
        <v>119</v>
      </c>
      <c r="C132" s="24">
        <v>65</v>
      </c>
      <c r="D132" s="24">
        <f>'[14]1.RSP Districts '!D130</f>
        <v>53</v>
      </c>
      <c r="E132" s="24">
        <f>'[13]1.RSP Districts '!$F$129</f>
        <v>53</v>
      </c>
      <c r="F132" s="102">
        <f t="shared" si="17"/>
        <v>0</v>
      </c>
      <c r="G132" s="102">
        <f t="shared" si="18"/>
        <v>81.538461538461533</v>
      </c>
      <c r="H132" s="24">
        <f>'[14]1.RSP Districts '!I130</f>
        <v>244</v>
      </c>
      <c r="I132" s="24">
        <f t="shared" si="26"/>
        <v>244</v>
      </c>
      <c r="J132" s="24">
        <v>106515</v>
      </c>
      <c r="K132" s="24">
        <v>36748</v>
      </c>
      <c r="L132" s="24">
        <f>36057+691+881</f>
        <v>37629</v>
      </c>
      <c r="M132" s="102">
        <f t="shared" si="19"/>
        <v>2.3974093828235548</v>
      </c>
      <c r="N132" s="102">
        <f t="shared" si="20"/>
        <v>35.327418673426273</v>
      </c>
      <c r="O132" s="24">
        <v>2383</v>
      </c>
      <c r="P132" s="24">
        <f>'[13]1.RSP Districts '!S129</f>
        <v>2434</v>
      </c>
      <c r="Q132" s="102">
        <f t="shared" si="21"/>
        <v>2.1401594628619387</v>
      </c>
      <c r="R132" s="31" t="s">
        <v>6</v>
      </c>
      <c r="S132" s="1">
        <v>1</v>
      </c>
      <c r="T132" s="157"/>
    </row>
    <row r="133" spans="1:23" s="6" customFormat="1" ht="14.25">
      <c r="A133" s="22">
        <v>20</v>
      </c>
      <c r="B133" s="23" t="s">
        <v>245</v>
      </c>
      <c r="C133" s="24">
        <v>65</v>
      </c>
      <c r="D133" s="38">
        <f>'[2]1.RSP Districts '!D131</f>
        <v>9</v>
      </c>
      <c r="E133" s="38">
        <f t="shared" si="25"/>
        <v>9</v>
      </c>
      <c r="F133" s="102">
        <f t="shared" ref="F133" si="32">(E133-D133)/D133%</f>
        <v>0</v>
      </c>
      <c r="G133" s="102">
        <f t="shared" ref="G133" si="33">E133/C133%</f>
        <v>13.846153846153845</v>
      </c>
      <c r="H133" s="38">
        <f>'[2]1.RSP Districts '!H131</f>
        <v>21</v>
      </c>
      <c r="I133" s="38">
        <f t="shared" si="26"/>
        <v>21</v>
      </c>
      <c r="J133" s="24">
        <v>106515</v>
      </c>
      <c r="K133" s="38">
        <v>414</v>
      </c>
      <c r="L133" s="38">
        <f>K133</f>
        <v>414</v>
      </c>
      <c r="M133" s="102">
        <f t="shared" ref="M133" si="34">(L133-K133)/K133%</f>
        <v>0</v>
      </c>
      <c r="N133" s="102">
        <f t="shared" ref="N133" si="35">L133/J133%</f>
        <v>0.38867765103506546</v>
      </c>
      <c r="O133" s="38">
        <v>35</v>
      </c>
      <c r="P133" s="38">
        <f>O133</f>
        <v>35</v>
      </c>
      <c r="Q133" s="102">
        <f t="shared" ref="Q133" si="36">(P133-O133)/O133%</f>
        <v>0</v>
      </c>
      <c r="R133" s="31" t="s">
        <v>5</v>
      </c>
      <c r="S133" s="1">
        <v>1</v>
      </c>
      <c r="T133" s="157" t="s">
        <v>246</v>
      </c>
      <c r="W133" s="225">
        <f>I133-'[3]1.RSP Districts '!I133</f>
        <v>21</v>
      </c>
    </row>
    <row r="134" spans="1:23" s="6" customFormat="1" ht="14.25">
      <c r="A134" s="22">
        <v>21</v>
      </c>
      <c r="B134" s="23" t="s">
        <v>120</v>
      </c>
      <c r="C134" s="24">
        <v>53</v>
      </c>
      <c r="D134" s="38">
        <f>'[2]1.RSP Districts '!D132</f>
        <v>56</v>
      </c>
      <c r="E134" s="38">
        <f t="shared" si="25"/>
        <v>56</v>
      </c>
      <c r="F134" s="102">
        <f t="shared" si="17"/>
        <v>0</v>
      </c>
      <c r="G134" s="102">
        <f t="shared" si="18"/>
        <v>105.66037735849056</v>
      </c>
      <c r="H134" s="38">
        <f>'[2]1.RSP Districts '!H132</f>
        <v>228</v>
      </c>
      <c r="I134" s="38">
        <f t="shared" si="26"/>
        <v>228</v>
      </c>
      <c r="J134" s="29">
        <v>120486</v>
      </c>
      <c r="K134" s="38">
        <v>79354</v>
      </c>
      <c r="L134" s="38">
        <v>80437</v>
      </c>
      <c r="M134" s="102">
        <f t="shared" si="19"/>
        <v>1.3647705219648663</v>
      </c>
      <c r="N134" s="102">
        <f t="shared" si="20"/>
        <v>66.760453496671815</v>
      </c>
      <c r="O134" s="38">
        <v>4538</v>
      </c>
      <c r="P134" s="38">
        <v>4602</v>
      </c>
      <c r="Q134" s="102">
        <f t="shared" si="21"/>
        <v>1.4103129131776111</v>
      </c>
      <c r="R134" s="31" t="s">
        <v>5</v>
      </c>
      <c r="S134" s="1">
        <v>1</v>
      </c>
      <c r="T134" s="157"/>
      <c r="W134" s="225">
        <f>I134-'[3]1.RSP Districts '!I134</f>
        <v>228</v>
      </c>
    </row>
    <row r="135" spans="1:23" s="6" customFormat="1" ht="14.25">
      <c r="A135" s="22">
        <v>22</v>
      </c>
      <c r="B135" s="23" t="s">
        <v>121</v>
      </c>
      <c r="C135" s="24">
        <v>69</v>
      </c>
      <c r="D135" s="24">
        <f>'[14]1.RSP Districts '!D133</f>
        <v>22</v>
      </c>
      <c r="E135" s="24">
        <f>'[13]1.RSP Districts '!$F$131</f>
        <v>22</v>
      </c>
      <c r="F135" s="102">
        <f t="shared" si="17"/>
        <v>0</v>
      </c>
      <c r="G135" s="102">
        <f t="shared" si="18"/>
        <v>31.884057971014496</v>
      </c>
      <c r="H135" s="24">
        <f>'[14]1.RSP Districts '!I133</f>
        <v>148</v>
      </c>
      <c r="I135" s="24">
        <f t="shared" si="26"/>
        <v>148</v>
      </c>
      <c r="J135" s="24">
        <v>261678</v>
      </c>
      <c r="K135" s="24">
        <v>35212</v>
      </c>
      <c r="L135" s="24">
        <v>35212</v>
      </c>
      <c r="M135" s="102">
        <f t="shared" si="19"/>
        <v>0</v>
      </c>
      <c r="N135" s="102">
        <f t="shared" si="20"/>
        <v>13.456232468912173</v>
      </c>
      <c r="O135" s="24">
        <v>2382</v>
      </c>
      <c r="P135" s="24">
        <f>'[13]1.RSP Districts '!S131</f>
        <v>2382</v>
      </c>
      <c r="Q135" s="102">
        <f t="shared" si="21"/>
        <v>0</v>
      </c>
      <c r="R135" s="31" t="s">
        <v>6</v>
      </c>
      <c r="S135" s="1">
        <v>1</v>
      </c>
      <c r="T135" s="157"/>
    </row>
    <row r="136" spans="1:23" ht="14.25">
      <c r="A136" s="22">
        <v>22</v>
      </c>
      <c r="B136" s="23" t="s">
        <v>122</v>
      </c>
      <c r="C136" s="24">
        <v>69</v>
      </c>
      <c r="D136" s="38">
        <f>'[2]1.RSP Districts '!D134</f>
        <v>58</v>
      </c>
      <c r="E136" s="38">
        <f t="shared" si="25"/>
        <v>58</v>
      </c>
      <c r="F136" s="102">
        <f t="shared" si="17"/>
        <v>0</v>
      </c>
      <c r="G136" s="102">
        <f t="shared" si="18"/>
        <v>84.057971014492765</v>
      </c>
      <c r="H136" s="38">
        <f>'[2]1.RSP Districts '!H134</f>
        <v>169</v>
      </c>
      <c r="I136" s="38">
        <f t="shared" si="26"/>
        <v>169</v>
      </c>
      <c r="J136" s="24">
        <v>261678</v>
      </c>
      <c r="K136" s="38">
        <v>17654</v>
      </c>
      <c r="L136" s="38">
        <f>K136</f>
        <v>17654</v>
      </c>
      <c r="M136" s="102">
        <f t="shared" si="19"/>
        <v>0</v>
      </c>
      <c r="N136" s="102">
        <f t="shared" si="20"/>
        <v>6.7464593890200932</v>
      </c>
      <c r="O136" s="38">
        <v>1958</v>
      </c>
      <c r="P136" s="38">
        <f>O136</f>
        <v>1958</v>
      </c>
      <c r="Q136" s="102">
        <f t="shared" si="21"/>
        <v>0</v>
      </c>
      <c r="R136" s="26" t="s">
        <v>5</v>
      </c>
      <c r="S136" s="1">
        <v>1</v>
      </c>
      <c r="T136" s="157"/>
      <c r="W136" s="225">
        <f>I136-'[3]1.RSP Districts '!I136</f>
        <v>169</v>
      </c>
    </row>
    <row r="137" spans="1:23" s="6" customFormat="1" ht="14.25">
      <c r="A137" s="22">
        <v>23</v>
      </c>
      <c r="B137" s="23" t="s">
        <v>123</v>
      </c>
      <c r="C137" s="24">
        <v>93</v>
      </c>
      <c r="D137" s="24">
        <f>'[14]1.RSP Districts '!D135</f>
        <v>16</v>
      </c>
      <c r="E137" s="24">
        <f>'[13]1.RSP Districts '!$F$133</f>
        <v>24</v>
      </c>
      <c r="F137" s="102">
        <f t="shared" si="17"/>
        <v>50</v>
      </c>
      <c r="G137" s="102">
        <f t="shared" si="18"/>
        <v>25.806451612903224</v>
      </c>
      <c r="H137" s="24">
        <f>'[14]1.RSP Districts '!I135</f>
        <v>256</v>
      </c>
      <c r="I137" s="24">
        <f t="shared" si="26"/>
        <v>256</v>
      </c>
      <c r="J137" s="24">
        <v>317647</v>
      </c>
      <c r="K137" s="24">
        <v>150120</v>
      </c>
      <c r="L137" s="24">
        <f>147681+2439+2336</f>
        <v>152456</v>
      </c>
      <c r="M137" s="102">
        <f t="shared" si="19"/>
        <v>1.5560884625632827</v>
      </c>
      <c r="N137" s="102">
        <f t="shared" si="20"/>
        <v>47.995416295447463</v>
      </c>
      <c r="O137" s="24">
        <v>9113</v>
      </c>
      <c r="P137" s="24">
        <f>'[13]1.RSP Districts '!S133</f>
        <v>9249</v>
      </c>
      <c r="Q137" s="102">
        <f t="shared" si="21"/>
        <v>1.4923735323164711</v>
      </c>
      <c r="R137" s="31" t="s">
        <v>6</v>
      </c>
      <c r="S137" s="1">
        <v>1</v>
      </c>
      <c r="T137" s="157"/>
    </row>
    <row r="138" spans="1:23" ht="14.25">
      <c r="A138" s="22">
        <v>23</v>
      </c>
      <c r="B138" s="23" t="s">
        <v>124</v>
      </c>
      <c r="C138" s="24">
        <v>93</v>
      </c>
      <c r="D138" s="38">
        <f>'[2]1.RSP Districts '!D136</f>
        <v>24</v>
      </c>
      <c r="E138" s="38">
        <f t="shared" si="25"/>
        <v>24</v>
      </c>
      <c r="F138" s="102">
        <f t="shared" si="17"/>
        <v>0</v>
      </c>
      <c r="G138" s="102">
        <f t="shared" si="18"/>
        <v>25.806451612903224</v>
      </c>
      <c r="H138" s="38">
        <f>'[2]1.RSP Districts '!H136</f>
        <v>0</v>
      </c>
      <c r="I138" s="38">
        <f t="shared" si="26"/>
        <v>0</v>
      </c>
      <c r="J138" s="24">
        <v>317647</v>
      </c>
      <c r="K138" s="38">
        <v>0</v>
      </c>
      <c r="L138" s="38">
        <f>K138</f>
        <v>0</v>
      </c>
      <c r="M138" s="102">
        <v>0</v>
      </c>
      <c r="N138" s="102">
        <f t="shared" si="20"/>
        <v>0</v>
      </c>
      <c r="O138" s="38">
        <v>0</v>
      </c>
      <c r="P138" s="38">
        <f>O138</f>
        <v>0</v>
      </c>
      <c r="Q138" s="102">
        <v>0</v>
      </c>
      <c r="R138" s="26" t="s">
        <v>5</v>
      </c>
      <c r="S138" s="1">
        <v>1</v>
      </c>
      <c r="T138" s="157"/>
      <c r="W138" s="225">
        <f>I138-'[3]1.RSP Districts '!I138</f>
        <v>0</v>
      </c>
    </row>
    <row r="139" spans="1:23" ht="14.25">
      <c r="A139" s="22">
        <v>24</v>
      </c>
      <c r="B139" s="23" t="s">
        <v>226</v>
      </c>
      <c r="C139" s="24">
        <v>65</v>
      </c>
      <c r="D139" s="24">
        <f>'[14]1.RSP Districts '!D137</f>
        <v>0</v>
      </c>
      <c r="E139" s="24">
        <f>'[13]1.RSP Districts '!$F$135</f>
        <v>0</v>
      </c>
      <c r="F139" s="102">
        <v>0</v>
      </c>
      <c r="G139" s="102">
        <f t="shared" si="18"/>
        <v>0</v>
      </c>
      <c r="H139" s="24">
        <v>229</v>
      </c>
      <c r="I139" s="24">
        <f t="shared" si="26"/>
        <v>229</v>
      </c>
      <c r="J139" s="24">
        <v>187137</v>
      </c>
      <c r="K139" s="24">
        <v>695</v>
      </c>
      <c r="L139" s="24">
        <v>695</v>
      </c>
      <c r="M139" s="102">
        <f t="shared" si="19"/>
        <v>0</v>
      </c>
      <c r="N139" s="102">
        <f t="shared" si="20"/>
        <v>0.37138566932247502</v>
      </c>
      <c r="O139" s="24">
        <v>45</v>
      </c>
      <c r="P139" s="24">
        <f>'[13]1.RSP Districts '!S135</f>
        <v>45</v>
      </c>
      <c r="Q139" s="102">
        <f t="shared" si="21"/>
        <v>0</v>
      </c>
      <c r="R139" s="79" t="s">
        <v>6</v>
      </c>
      <c r="S139" s="1">
        <v>1</v>
      </c>
      <c r="T139" s="157"/>
    </row>
    <row r="140" spans="1:23" s="6" customFormat="1" ht="14.25">
      <c r="A140" s="22">
        <v>25</v>
      </c>
      <c r="B140" s="23" t="s">
        <v>125</v>
      </c>
      <c r="C140" s="24">
        <v>74</v>
      </c>
      <c r="D140" s="24">
        <f>'[14]1.RSP Districts '!D138</f>
        <v>61</v>
      </c>
      <c r="E140" s="24">
        <f>'[13]1.RSP Districts '!$F$136</f>
        <v>61</v>
      </c>
      <c r="F140" s="102">
        <f t="shared" si="17"/>
        <v>0</v>
      </c>
      <c r="G140" s="102">
        <f t="shared" si="18"/>
        <v>82.432432432432435</v>
      </c>
      <c r="H140" s="24">
        <f>'[14]1.RSP Districts '!I138</f>
        <v>554</v>
      </c>
      <c r="I140" s="24">
        <f t="shared" si="26"/>
        <v>554</v>
      </c>
      <c r="J140" s="24">
        <v>150406</v>
      </c>
      <c r="K140" s="24">
        <v>114217</v>
      </c>
      <c r="L140" s="24">
        <f>111650+2567+2941</f>
        <v>117158</v>
      </c>
      <c r="M140" s="102">
        <f t="shared" si="19"/>
        <v>2.5749231725574999</v>
      </c>
      <c r="N140" s="102">
        <f t="shared" si="20"/>
        <v>77.894498889671951</v>
      </c>
      <c r="O140" s="24">
        <v>5482</v>
      </c>
      <c r="P140" s="24">
        <f>'[13]1.RSP Districts '!S136</f>
        <v>5613</v>
      </c>
      <c r="Q140" s="102">
        <f t="shared" si="21"/>
        <v>2.3896388179496535</v>
      </c>
      <c r="R140" s="31" t="s">
        <v>6</v>
      </c>
      <c r="S140" s="1">
        <v>1</v>
      </c>
      <c r="T140" s="157"/>
    </row>
    <row r="141" spans="1:23" s="6" customFormat="1" ht="14.25">
      <c r="A141" s="22">
        <v>26</v>
      </c>
      <c r="B141" s="23" t="s">
        <v>126</v>
      </c>
      <c r="C141" s="24">
        <v>111</v>
      </c>
      <c r="D141" s="24">
        <f>'[14]1.RSP Districts '!D139</f>
        <v>27</v>
      </c>
      <c r="E141" s="24">
        <f>'[13]1.RSP Districts '!$F$137</f>
        <v>27</v>
      </c>
      <c r="F141" s="102">
        <f t="shared" si="17"/>
        <v>0</v>
      </c>
      <c r="G141" s="102">
        <f t="shared" si="18"/>
        <v>24.324324324324323</v>
      </c>
      <c r="H141" s="24">
        <f>'[14]1.RSP Districts '!I139</f>
        <v>229</v>
      </c>
      <c r="I141" s="24">
        <f t="shared" si="26"/>
        <v>229</v>
      </c>
      <c r="J141" s="24">
        <v>270191</v>
      </c>
      <c r="K141" s="24">
        <v>35443</v>
      </c>
      <c r="L141" s="24">
        <f>34016+1427+1351</f>
        <v>36794</v>
      </c>
      <c r="M141" s="102">
        <f t="shared" si="19"/>
        <v>3.8117540840222328</v>
      </c>
      <c r="N141" s="102">
        <f t="shared" si="20"/>
        <v>13.617774093141518</v>
      </c>
      <c r="O141" s="24">
        <v>2341</v>
      </c>
      <c r="P141" s="24">
        <f>'[13]1.RSP Districts '!S137</f>
        <v>2429</v>
      </c>
      <c r="Q141" s="102">
        <f t="shared" si="21"/>
        <v>3.7590773173857324</v>
      </c>
      <c r="R141" s="31" t="s">
        <v>6</v>
      </c>
      <c r="S141" s="1">
        <v>1</v>
      </c>
      <c r="T141" s="157"/>
    </row>
    <row r="142" spans="1:23" s="6" customFormat="1" ht="14.25">
      <c r="A142" s="22">
        <v>27</v>
      </c>
      <c r="B142" s="23" t="s">
        <v>127</v>
      </c>
      <c r="C142" s="24">
        <v>63</v>
      </c>
      <c r="D142" s="24">
        <f>'[14]1.RSP Districts '!D140</f>
        <v>20</v>
      </c>
      <c r="E142" s="24">
        <f>'[13]1.RSP Districts '!$F$138</f>
        <v>20</v>
      </c>
      <c r="F142" s="102">
        <f t="shared" si="17"/>
        <v>0</v>
      </c>
      <c r="G142" s="102">
        <f t="shared" si="18"/>
        <v>31.746031746031747</v>
      </c>
      <c r="H142" s="24">
        <f>'[14]1.RSP Districts '!I140</f>
        <v>174</v>
      </c>
      <c r="I142" s="24">
        <f t="shared" si="26"/>
        <v>174</v>
      </c>
      <c r="J142" s="24">
        <v>174888</v>
      </c>
      <c r="K142" s="24">
        <v>24322</v>
      </c>
      <c r="L142" s="24">
        <f>23556+766+861</f>
        <v>25183</v>
      </c>
      <c r="M142" s="102">
        <f t="shared" si="19"/>
        <v>3.5400049338047856</v>
      </c>
      <c r="N142" s="102">
        <f t="shared" si="20"/>
        <v>14.399501395178628</v>
      </c>
      <c r="O142" s="24">
        <v>1577</v>
      </c>
      <c r="P142" s="24">
        <f>'[13]1.RSP Districts '!S138</f>
        <v>1634</v>
      </c>
      <c r="Q142" s="102">
        <f t="shared" si="21"/>
        <v>3.6144578313253013</v>
      </c>
      <c r="R142" s="31" t="s">
        <v>6</v>
      </c>
      <c r="S142" s="1">
        <v>1</v>
      </c>
      <c r="T142" s="157"/>
    </row>
    <row r="143" spans="1:23" ht="14.25">
      <c r="A143" s="22">
        <v>27</v>
      </c>
      <c r="B143" s="23" t="s">
        <v>128</v>
      </c>
      <c r="C143" s="24">
        <v>63</v>
      </c>
      <c r="D143" s="38">
        <f>'[2]1.RSP Districts '!D141</f>
        <v>54</v>
      </c>
      <c r="E143" s="38">
        <f t="shared" si="25"/>
        <v>54</v>
      </c>
      <c r="F143" s="102">
        <f t="shared" si="17"/>
        <v>0</v>
      </c>
      <c r="G143" s="102">
        <f t="shared" si="18"/>
        <v>85.714285714285708</v>
      </c>
      <c r="H143" s="38">
        <f>'[2]1.RSP Districts '!H141</f>
        <v>291</v>
      </c>
      <c r="I143" s="38">
        <f t="shared" si="26"/>
        <v>291</v>
      </c>
      <c r="J143" s="24">
        <v>174888</v>
      </c>
      <c r="K143" s="38">
        <v>12295</v>
      </c>
      <c r="L143" s="38">
        <f>K143</f>
        <v>12295</v>
      </c>
      <c r="M143" s="102">
        <f t="shared" si="19"/>
        <v>0</v>
      </c>
      <c r="N143" s="102">
        <f t="shared" si="20"/>
        <v>7.0302136224326421</v>
      </c>
      <c r="O143" s="38">
        <v>1486</v>
      </c>
      <c r="P143" s="38">
        <f>O143</f>
        <v>1486</v>
      </c>
      <c r="Q143" s="102">
        <f t="shared" si="21"/>
        <v>0</v>
      </c>
      <c r="R143" s="26" t="s">
        <v>5</v>
      </c>
      <c r="S143" s="1">
        <v>1</v>
      </c>
      <c r="T143" s="157"/>
      <c r="W143" s="225">
        <f>I143-'[3]1.RSP Districts '!I143</f>
        <v>291</v>
      </c>
    </row>
    <row r="144" spans="1:23" s="6" customFormat="1" ht="14.25">
      <c r="A144" s="22">
        <v>28</v>
      </c>
      <c r="B144" s="23" t="s">
        <v>129</v>
      </c>
      <c r="C144" s="24">
        <v>103</v>
      </c>
      <c r="D144" s="38">
        <f>'[2]1.RSP Districts '!D142</f>
        <v>103</v>
      </c>
      <c r="E144" s="38">
        <f t="shared" si="25"/>
        <v>103</v>
      </c>
      <c r="F144" s="102">
        <f t="shared" si="17"/>
        <v>0</v>
      </c>
      <c r="G144" s="102">
        <f t="shared" si="18"/>
        <v>100</v>
      </c>
      <c r="H144" s="38">
        <f>'[2]1.RSP Districts '!H142</f>
        <v>474</v>
      </c>
      <c r="I144" s="38">
        <f t="shared" si="26"/>
        <v>474</v>
      </c>
      <c r="J144" s="29">
        <v>338677</v>
      </c>
      <c r="K144" s="38">
        <v>78596</v>
      </c>
      <c r="L144" s="38">
        <v>81003</v>
      </c>
      <c r="M144" s="102">
        <f t="shared" si="19"/>
        <v>3.0624968191765483</v>
      </c>
      <c r="N144" s="102">
        <f t="shared" si="20"/>
        <v>23.917478895821091</v>
      </c>
      <c r="O144" s="38">
        <v>7171</v>
      </c>
      <c r="P144" s="38">
        <v>7409</v>
      </c>
      <c r="Q144" s="102">
        <f t="shared" si="21"/>
        <v>3.3189234416399391</v>
      </c>
      <c r="R144" s="31" t="s">
        <v>5</v>
      </c>
      <c r="S144" s="1">
        <v>1</v>
      </c>
      <c r="T144" s="157"/>
      <c r="W144" s="225">
        <f>I144-'[3]1.RSP Districts '!I144</f>
        <v>474</v>
      </c>
    </row>
    <row r="145" spans="1:23" s="6" customFormat="1" ht="14.25">
      <c r="A145" s="22">
        <v>29</v>
      </c>
      <c r="B145" s="23" t="s">
        <v>130</v>
      </c>
      <c r="C145" s="24">
        <v>44</v>
      </c>
      <c r="D145" s="38">
        <f>'[2]1.RSP Districts '!D143</f>
        <v>43</v>
      </c>
      <c r="E145" s="38">
        <f t="shared" si="25"/>
        <v>43</v>
      </c>
      <c r="F145" s="102">
        <f t="shared" si="17"/>
        <v>0</v>
      </c>
      <c r="G145" s="102">
        <f t="shared" si="18"/>
        <v>97.727272727272734</v>
      </c>
      <c r="H145" s="38">
        <f>'[2]1.RSP Districts '!H143</f>
        <v>373</v>
      </c>
      <c r="I145" s="38">
        <f t="shared" si="26"/>
        <v>373</v>
      </c>
      <c r="J145" s="29">
        <v>133182</v>
      </c>
      <c r="K145" s="38">
        <v>101974</v>
      </c>
      <c r="L145" s="38">
        <v>102476</v>
      </c>
      <c r="M145" s="102">
        <f t="shared" si="19"/>
        <v>0.49228234648047542</v>
      </c>
      <c r="N145" s="102">
        <f t="shared" si="20"/>
        <v>76.944331816611864</v>
      </c>
      <c r="O145" s="38">
        <v>6795</v>
      </c>
      <c r="P145" s="38">
        <v>6813</v>
      </c>
      <c r="Q145" s="102">
        <f t="shared" si="21"/>
        <v>0.26490066225165559</v>
      </c>
      <c r="R145" s="31" t="s">
        <v>5</v>
      </c>
      <c r="S145" s="1">
        <v>1</v>
      </c>
      <c r="T145" s="157"/>
      <c r="W145" s="225">
        <f>I145-'[3]1.RSP Districts '!I145</f>
        <v>373</v>
      </c>
    </row>
    <row r="146" spans="1:23" s="6" customFormat="1" ht="14.25">
      <c r="A146" s="22">
        <v>29</v>
      </c>
      <c r="B146" s="23" t="s">
        <v>227</v>
      </c>
      <c r="C146" s="24">
        <v>44</v>
      </c>
      <c r="D146" s="24">
        <f>'[14]1.RSP Districts '!D144</f>
        <v>0</v>
      </c>
      <c r="E146" s="24">
        <f>'[13]1.RSP Districts '!$F$142</f>
        <v>0</v>
      </c>
      <c r="F146" s="102">
        <v>0</v>
      </c>
      <c r="G146" s="102">
        <f t="shared" si="18"/>
        <v>0</v>
      </c>
      <c r="H146" s="24">
        <v>319</v>
      </c>
      <c r="I146" s="24">
        <f t="shared" si="26"/>
        <v>319</v>
      </c>
      <c r="J146" s="24">
        <v>133182</v>
      </c>
      <c r="K146" s="24">
        <v>18650</v>
      </c>
      <c r="L146" s="24">
        <v>18650</v>
      </c>
      <c r="M146" s="102">
        <f t="shared" si="19"/>
        <v>0</v>
      </c>
      <c r="N146" s="102">
        <f t="shared" si="20"/>
        <v>14.003393852022045</v>
      </c>
      <c r="O146" s="24">
        <v>1218</v>
      </c>
      <c r="P146" s="24">
        <f>'[13]1.RSP Districts '!S142</f>
        <v>1218</v>
      </c>
      <c r="Q146" s="102">
        <f t="shared" si="21"/>
        <v>0</v>
      </c>
      <c r="R146" s="31" t="s">
        <v>6</v>
      </c>
      <c r="S146" s="1">
        <v>1</v>
      </c>
      <c r="T146" s="157"/>
    </row>
    <row r="147" spans="1:23" s="6" customFormat="1" ht="14.25">
      <c r="A147" s="22">
        <v>30</v>
      </c>
      <c r="B147" s="23" t="s">
        <v>131</v>
      </c>
      <c r="C147" s="24">
        <v>58</v>
      </c>
      <c r="D147" s="38">
        <f>'[2]1.RSP Districts '!D145</f>
        <v>58</v>
      </c>
      <c r="E147" s="38">
        <f t="shared" si="25"/>
        <v>58</v>
      </c>
      <c r="F147" s="102">
        <f t="shared" si="17"/>
        <v>0</v>
      </c>
      <c r="G147" s="102">
        <f t="shared" si="18"/>
        <v>100</v>
      </c>
      <c r="H147" s="38">
        <f>'[2]1.RSP Districts '!H145</f>
        <v>319</v>
      </c>
      <c r="I147" s="38">
        <f t="shared" si="26"/>
        <v>319</v>
      </c>
      <c r="J147" s="29">
        <v>256911</v>
      </c>
      <c r="K147" s="38">
        <v>89742</v>
      </c>
      <c r="L147" s="38">
        <v>89912</v>
      </c>
      <c r="M147" s="102">
        <f t="shared" si="19"/>
        <v>0.18943192707985113</v>
      </c>
      <c r="N147" s="102">
        <f t="shared" si="20"/>
        <v>34.997333707003591</v>
      </c>
      <c r="O147" s="38">
        <v>6064</v>
      </c>
      <c r="P147" s="38">
        <v>6087</v>
      </c>
      <c r="Q147" s="102">
        <f t="shared" si="21"/>
        <v>0.37928759894459102</v>
      </c>
      <c r="R147" s="31" t="s">
        <v>5</v>
      </c>
      <c r="S147" s="1">
        <v>1</v>
      </c>
      <c r="T147" s="157"/>
      <c r="W147" s="225">
        <f>I147-'[3]1.RSP Districts '!I147</f>
        <v>319</v>
      </c>
    </row>
    <row r="148" spans="1:23" s="6" customFormat="1" ht="14.25">
      <c r="A148" s="22">
        <v>31</v>
      </c>
      <c r="B148" s="23" t="s">
        <v>132</v>
      </c>
      <c r="C148" s="24">
        <v>83</v>
      </c>
      <c r="D148" s="24">
        <f>'[14]1.RSP Districts '!D146</f>
        <v>39</v>
      </c>
      <c r="E148" s="24">
        <f>'[13]1.RSP Districts '!$F$144</f>
        <v>39</v>
      </c>
      <c r="F148" s="102">
        <f t="shared" si="17"/>
        <v>0</v>
      </c>
      <c r="G148" s="102">
        <f t="shared" si="18"/>
        <v>46.987951807228917</v>
      </c>
      <c r="H148" s="24">
        <f>'[14]1.RSP Districts '!I146</f>
        <v>272</v>
      </c>
      <c r="I148" s="24">
        <f t="shared" si="26"/>
        <v>272</v>
      </c>
      <c r="J148" s="24">
        <v>227413</v>
      </c>
      <c r="K148" s="24">
        <v>45822</v>
      </c>
      <c r="L148" s="24">
        <f>44088+1734+1371</f>
        <v>47193</v>
      </c>
      <c r="M148" s="102">
        <f t="shared" si="19"/>
        <v>2.9920125703810396</v>
      </c>
      <c r="N148" s="102">
        <f t="shared" si="20"/>
        <v>20.752111796599138</v>
      </c>
      <c r="O148" s="24">
        <v>2888</v>
      </c>
      <c r="P148" s="24">
        <f>'[13]1.RSP Districts '!S144</f>
        <v>2978</v>
      </c>
      <c r="Q148" s="102">
        <f t="shared" si="21"/>
        <v>3.1163434903047094</v>
      </c>
      <c r="R148" s="31" t="s">
        <v>6</v>
      </c>
      <c r="S148" s="1">
        <v>1</v>
      </c>
      <c r="T148" s="157"/>
    </row>
    <row r="149" spans="1:23" ht="14.25">
      <c r="A149" s="22">
        <v>31</v>
      </c>
      <c r="B149" s="23" t="s">
        <v>133</v>
      </c>
      <c r="C149" s="24">
        <v>83</v>
      </c>
      <c r="D149" s="38">
        <f>'[2]1.RSP Districts '!D147</f>
        <v>52</v>
      </c>
      <c r="E149" s="38">
        <f t="shared" si="25"/>
        <v>52</v>
      </c>
      <c r="F149" s="102">
        <f t="shared" si="17"/>
        <v>0</v>
      </c>
      <c r="G149" s="102">
        <f t="shared" si="18"/>
        <v>62.650602409638559</v>
      </c>
      <c r="H149" s="38">
        <f>'[2]1.RSP Districts '!H147</f>
        <v>218</v>
      </c>
      <c r="I149" s="38">
        <f t="shared" si="26"/>
        <v>218</v>
      </c>
      <c r="J149" s="24">
        <v>227413</v>
      </c>
      <c r="K149" s="38">
        <v>12414</v>
      </c>
      <c r="L149" s="38">
        <f>K149</f>
        <v>12414</v>
      </c>
      <c r="M149" s="102">
        <f t="shared" si="19"/>
        <v>0</v>
      </c>
      <c r="N149" s="102">
        <f t="shared" si="20"/>
        <v>5.4587908342970719</v>
      </c>
      <c r="O149" s="38">
        <v>1201</v>
      </c>
      <c r="P149" s="38">
        <f>O149</f>
        <v>1201</v>
      </c>
      <c r="Q149" s="102">
        <f t="shared" si="21"/>
        <v>0</v>
      </c>
      <c r="R149" s="26" t="s">
        <v>5</v>
      </c>
      <c r="S149" s="1">
        <v>1</v>
      </c>
      <c r="T149" s="157"/>
      <c r="W149" s="225">
        <f>I149-'[3]1.RSP Districts '!I149</f>
        <v>218</v>
      </c>
    </row>
    <row r="150" spans="1:23" s="6" customFormat="1" ht="14.25">
      <c r="A150" s="22">
        <v>32</v>
      </c>
      <c r="B150" s="23" t="s">
        <v>134</v>
      </c>
      <c r="C150" s="24">
        <v>132</v>
      </c>
      <c r="D150" s="24">
        <f>'[14]1.RSP Districts '!D148</f>
        <v>57</v>
      </c>
      <c r="E150" s="24">
        <f>'[13]1.RSP Districts '!$F$146</f>
        <v>57</v>
      </c>
      <c r="F150" s="102">
        <f t="shared" si="17"/>
        <v>0</v>
      </c>
      <c r="G150" s="102">
        <f t="shared" si="18"/>
        <v>43.18181818181818</v>
      </c>
      <c r="H150" s="24">
        <f>'[14]1.RSP Districts '!I148</f>
        <v>224</v>
      </c>
      <c r="I150" s="24">
        <f t="shared" si="26"/>
        <v>224</v>
      </c>
      <c r="J150" s="24">
        <v>303958</v>
      </c>
      <c r="K150" s="24">
        <v>49872</v>
      </c>
      <c r="L150" s="24">
        <f>48838+1034+1171</f>
        <v>51043</v>
      </c>
      <c r="M150" s="102">
        <f t="shared" si="19"/>
        <v>2.3480109079242859</v>
      </c>
      <c r="N150" s="102">
        <f t="shared" si="20"/>
        <v>16.792780581527712</v>
      </c>
      <c r="O150" s="24">
        <v>3107</v>
      </c>
      <c r="P150" s="24">
        <f>'[13]1.RSP Districts '!S146</f>
        <v>3177</v>
      </c>
      <c r="Q150" s="102">
        <f t="shared" si="21"/>
        <v>2.2529771483746379</v>
      </c>
      <c r="R150" s="31" t="s">
        <v>6</v>
      </c>
      <c r="S150" s="1">
        <v>1</v>
      </c>
      <c r="T150" s="157"/>
    </row>
    <row r="151" spans="1:23" s="6" customFormat="1" ht="14.25">
      <c r="A151" s="22">
        <v>32</v>
      </c>
      <c r="B151" s="23" t="s">
        <v>238</v>
      </c>
      <c r="C151" s="24">
        <v>132</v>
      </c>
      <c r="D151" s="38">
        <f>'[2]1.RSP Districts '!D149</f>
        <v>116</v>
      </c>
      <c r="E151" s="38">
        <f t="shared" si="25"/>
        <v>116</v>
      </c>
      <c r="F151" s="102">
        <v>0</v>
      </c>
      <c r="G151" s="102">
        <f t="shared" si="18"/>
        <v>87.878787878787875</v>
      </c>
      <c r="H151" s="38">
        <v>652</v>
      </c>
      <c r="I151" s="38">
        <f t="shared" si="26"/>
        <v>652</v>
      </c>
      <c r="J151" s="24">
        <v>303958</v>
      </c>
      <c r="K151" s="38">
        <v>14114</v>
      </c>
      <c r="L151" s="38">
        <v>16351</v>
      </c>
      <c r="M151" s="102">
        <f t="shared" si="19"/>
        <v>15.849511123706959</v>
      </c>
      <c r="N151" s="102">
        <f t="shared" si="20"/>
        <v>5.3793616223294007</v>
      </c>
      <c r="O151" s="38">
        <v>1230</v>
      </c>
      <c r="P151" s="38">
        <v>1419</v>
      </c>
      <c r="Q151" s="102">
        <f t="shared" si="21"/>
        <v>15.365853658536585</v>
      </c>
      <c r="R151" s="31" t="s">
        <v>5</v>
      </c>
      <c r="S151" s="1">
        <v>1</v>
      </c>
      <c r="T151" s="157"/>
      <c r="W151" s="225">
        <f>I151-'[3]1.RSP Districts '!I151</f>
        <v>652</v>
      </c>
    </row>
    <row r="152" spans="1:23" s="6" customFormat="1" ht="14.25">
      <c r="A152" s="22">
        <v>33</v>
      </c>
      <c r="B152" s="23" t="s">
        <v>135</v>
      </c>
      <c r="C152" s="24">
        <v>91</v>
      </c>
      <c r="D152" s="24">
        <f>'[14]1.RSP Districts '!D150</f>
        <v>10</v>
      </c>
      <c r="E152" s="24">
        <f>'[13]1.RSP Districts '!$F$148</f>
        <v>10</v>
      </c>
      <c r="F152" s="102">
        <f t="shared" si="17"/>
        <v>0</v>
      </c>
      <c r="G152" s="102">
        <f t="shared" si="18"/>
        <v>10.989010989010989</v>
      </c>
      <c r="H152" s="24">
        <f>'[14]1.RSP Districts '!I150</f>
        <v>143</v>
      </c>
      <c r="I152" s="24">
        <f t="shared" si="26"/>
        <v>143</v>
      </c>
      <c r="J152" s="24">
        <v>207804.73300000001</v>
      </c>
      <c r="K152" s="24">
        <v>26171</v>
      </c>
      <c r="L152" s="24">
        <f>25433+738+852</f>
        <v>27023</v>
      </c>
      <c r="M152" s="102">
        <f t="shared" si="19"/>
        <v>3.2555118260670208</v>
      </c>
      <c r="N152" s="102">
        <f t="shared" si="20"/>
        <v>13.004034898473655</v>
      </c>
      <c r="O152" s="24">
        <v>1681</v>
      </c>
      <c r="P152" s="24">
        <f>'[13]1.RSP Districts '!S148</f>
        <v>1734</v>
      </c>
      <c r="Q152" s="102">
        <f t="shared" si="21"/>
        <v>3.1528851873884594</v>
      </c>
      <c r="R152" s="31" t="s">
        <v>6</v>
      </c>
      <c r="S152" s="1">
        <v>1</v>
      </c>
      <c r="T152" s="157"/>
    </row>
    <row r="153" spans="1:23" s="6" customFormat="1" ht="14.25">
      <c r="A153" s="22">
        <v>34</v>
      </c>
      <c r="B153" s="23" t="s">
        <v>136</v>
      </c>
      <c r="C153" s="24">
        <v>94</v>
      </c>
      <c r="D153" s="24">
        <f>'[14]1.RSP Districts '!D151-2</f>
        <v>87</v>
      </c>
      <c r="E153" s="24">
        <f>'[13]1.RSP Districts '!$F$149</f>
        <v>87</v>
      </c>
      <c r="F153" s="102">
        <f t="shared" si="17"/>
        <v>0</v>
      </c>
      <c r="G153" s="102">
        <f t="shared" si="18"/>
        <v>92.553191489361708</v>
      </c>
      <c r="H153" s="24">
        <f>'[14]1.RSP Districts '!I151</f>
        <v>788</v>
      </c>
      <c r="I153" s="24">
        <f t="shared" si="26"/>
        <v>788</v>
      </c>
      <c r="J153" s="24">
        <v>275204</v>
      </c>
      <c r="K153" s="24">
        <v>163667</v>
      </c>
      <c r="L153" s="24">
        <f>159798+3869+4074</f>
        <v>167741</v>
      </c>
      <c r="M153" s="102">
        <f t="shared" si="19"/>
        <v>2.4892006329926009</v>
      </c>
      <c r="N153" s="102">
        <f t="shared" si="20"/>
        <v>60.951512332669587</v>
      </c>
      <c r="O153" s="24">
        <v>7277</v>
      </c>
      <c r="P153" s="24">
        <f>'[13]1.RSP Districts '!S149</f>
        <v>7458</v>
      </c>
      <c r="Q153" s="102">
        <f t="shared" si="21"/>
        <v>2.4872887178782466</v>
      </c>
      <c r="R153" s="31" t="s">
        <v>6</v>
      </c>
      <c r="S153" s="1">
        <v>1</v>
      </c>
      <c r="T153" s="157"/>
    </row>
    <row r="154" spans="1:23" s="6" customFormat="1" ht="14.25">
      <c r="A154" s="22">
        <v>35</v>
      </c>
      <c r="B154" s="23" t="s">
        <v>137</v>
      </c>
      <c r="C154" s="24">
        <v>79</v>
      </c>
      <c r="D154" s="24">
        <f>'[14]1.RSP Districts '!D152</f>
        <v>22</v>
      </c>
      <c r="E154" s="24">
        <f>'[13]1.RSP Districts '!$F$150</f>
        <v>22</v>
      </c>
      <c r="F154" s="102">
        <f t="shared" si="17"/>
        <v>0</v>
      </c>
      <c r="G154" s="102">
        <f t="shared" si="18"/>
        <v>27.848101265822784</v>
      </c>
      <c r="H154" s="24">
        <f>'[14]1.RSP Districts '!I152</f>
        <v>152</v>
      </c>
      <c r="I154" s="24">
        <f t="shared" si="26"/>
        <v>152</v>
      </c>
      <c r="J154" s="24">
        <v>187555</v>
      </c>
      <c r="K154" s="24">
        <v>40378</v>
      </c>
      <c r="L154" s="24">
        <f>39174+1204+1052</f>
        <v>41430</v>
      </c>
      <c r="M154" s="102">
        <f t="shared" si="19"/>
        <v>2.6053791668730497</v>
      </c>
      <c r="N154" s="102">
        <f t="shared" si="20"/>
        <v>22.08952040734718</v>
      </c>
      <c r="O154" s="24">
        <v>2628</v>
      </c>
      <c r="P154" s="24">
        <f>'[13]1.RSP Districts '!S150</f>
        <v>2692</v>
      </c>
      <c r="Q154" s="102">
        <f t="shared" si="21"/>
        <v>2.4353120243531201</v>
      </c>
      <c r="R154" s="31" t="s">
        <v>6</v>
      </c>
      <c r="S154" s="1">
        <v>1</v>
      </c>
      <c r="T154" s="157"/>
    </row>
    <row r="155" spans="1:23" ht="14.25">
      <c r="A155" s="22">
        <v>35</v>
      </c>
      <c r="B155" s="23" t="s">
        <v>138</v>
      </c>
      <c r="C155" s="24">
        <v>79</v>
      </c>
      <c r="D155" s="38">
        <f>'[2]1.RSP Districts '!D153</f>
        <v>61</v>
      </c>
      <c r="E155" s="38">
        <f t="shared" si="25"/>
        <v>61</v>
      </c>
      <c r="F155" s="102">
        <f t="shared" si="17"/>
        <v>0</v>
      </c>
      <c r="G155" s="102">
        <f t="shared" si="18"/>
        <v>77.215189873417714</v>
      </c>
      <c r="H155" s="38">
        <f>'[2]1.RSP Districts '!H153</f>
        <v>214</v>
      </c>
      <c r="I155" s="38">
        <f t="shared" si="26"/>
        <v>214</v>
      </c>
      <c r="J155" s="24">
        <v>187555</v>
      </c>
      <c r="K155" s="38">
        <v>13594</v>
      </c>
      <c r="L155" s="38">
        <f>K155</f>
        <v>13594</v>
      </c>
      <c r="M155" s="102">
        <f t="shared" si="19"/>
        <v>0</v>
      </c>
      <c r="N155" s="102">
        <f t="shared" si="20"/>
        <v>7.248007251206313</v>
      </c>
      <c r="O155" s="38">
        <v>1545</v>
      </c>
      <c r="P155" s="38">
        <f>O155</f>
        <v>1545</v>
      </c>
      <c r="Q155" s="102">
        <f t="shared" si="21"/>
        <v>0</v>
      </c>
      <c r="R155" s="26" t="s">
        <v>5</v>
      </c>
      <c r="S155" s="1">
        <v>1</v>
      </c>
      <c r="T155" s="157"/>
      <c r="W155" s="225">
        <f>I155-'[3]1.RSP Districts '!I155</f>
        <v>214</v>
      </c>
    </row>
    <row r="156" spans="1:23" s="6" customFormat="1" thickBot="1">
      <c r="A156" s="36">
        <v>36</v>
      </c>
      <c r="B156" s="37" t="s">
        <v>139</v>
      </c>
      <c r="C156" s="38">
        <v>87</v>
      </c>
      <c r="D156" s="38">
        <f>'[2]1.RSP Districts '!D154</f>
        <v>80</v>
      </c>
      <c r="E156" s="38">
        <f t="shared" si="25"/>
        <v>80</v>
      </c>
      <c r="F156" s="134">
        <f t="shared" si="17"/>
        <v>0</v>
      </c>
      <c r="G156" s="134">
        <f t="shared" si="18"/>
        <v>91.954022988505741</v>
      </c>
      <c r="H156" s="38">
        <f>'[2]1.RSP Districts '!H154</f>
        <v>528</v>
      </c>
      <c r="I156" s="38">
        <f t="shared" si="26"/>
        <v>528</v>
      </c>
      <c r="J156" s="39">
        <v>257583</v>
      </c>
      <c r="K156" s="38">
        <v>39089</v>
      </c>
      <c r="L156" s="38">
        <f>K156</f>
        <v>39089</v>
      </c>
      <c r="M156" s="134">
        <f t="shared" si="19"/>
        <v>0</v>
      </c>
      <c r="N156" s="134">
        <f t="shared" si="20"/>
        <v>15.175302717958871</v>
      </c>
      <c r="O156" s="38">
        <v>3149</v>
      </c>
      <c r="P156" s="38">
        <f>O156</f>
        <v>3149</v>
      </c>
      <c r="Q156" s="134">
        <f t="shared" si="21"/>
        <v>0</v>
      </c>
      <c r="R156" s="41" t="s">
        <v>5</v>
      </c>
      <c r="S156" s="1">
        <v>1</v>
      </c>
      <c r="T156" s="157"/>
      <c r="W156" s="225">
        <f>I156-'[3]1.RSP Districts '!I156</f>
        <v>528</v>
      </c>
    </row>
    <row r="157" spans="1:23" s="4" customFormat="1" ht="15.75" thickBot="1">
      <c r="A157" s="150">
        <f>COUNTIF(R107:R156,"*")-(14)</f>
        <v>36</v>
      </c>
      <c r="B157" s="149" t="s">
        <v>76</v>
      </c>
      <c r="C157" s="56">
        <f>SUM(C107:C156)-(C107+C116+C113+C131+C125+C135+C138+C142+C146+C148+C154+C151+C133+C121)</f>
        <v>2635</v>
      </c>
      <c r="D157" s="56">
        <f>SUM(D107:D156)-(D107+D116+D113+D131+D125+D135+D138+D142+D146+D148+D154+D151+D133+D121)</f>
        <v>1771</v>
      </c>
      <c r="E157" s="56">
        <f>SUM(E107:E156)-(E107+E116+E113+E131+E125+E135+E138+E142+E146+E148+E154+E151+E133+E121)</f>
        <v>1782</v>
      </c>
      <c r="F157" s="151">
        <f t="shared" si="17"/>
        <v>0.6211180124223602</v>
      </c>
      <c r="G157" s="151">
        <f t="shared" si="18"/>
        <v>67.628083491461098</v>
      </c>
      <c r="H157" s="56">
        <f>SUM(H107:H156)</f>
        <v>14533</v>
      </c>
      <c r="I157" s="56">
        <f>SUM(I107:I156)</f>
        <v>14543</v>
      </c>
      <c r="J157" s="56">
        <f>SUM(J107:J156)-(J107+J116+J113+J131+J125+J135+J138+J142+J146+J148+J154+J151+J133+J121)</f>
        <v>6063823.2431565113</v>
      </c>
      <c r="K157" s="56">
        <f>SUM(K107:K156)</f>
        <v>2832633</v>
      </c>
      <c r="L157" s="56">
        <f>SUM(L107:L156)</f>
        <v>2890443</v>
      </c>
      <c r="M157" s="151">
        <f t="shared" si="19"/>
        <v>2.0408573931038716</v>
      </c>
      <c r="N157" s="151">
        <f t="shared" si="20"/>
        <v>47.66700617901563</v>
      </c>
      <c r="O157" s="56">
        <f>SUM(O107:O156)</f>
        <v>185520</v>
      </c>
      <c r="P157" s="56">
        <f>SUM(P107:P156)</f>
        <v>188939</v>
      </c>
      <c r="Q157" s="151">
        <f t="shared" si="21"/>
        <v>1.8429279862009487</v>
      </c>
      <c r="R157" s="153"/>
      <c r="S157" s="1">
        <v>1</v>
      </c>
      <c r="T157" s="157"/>
    </row>
    <row r="158" spans="1:23" ht="26.25" customHeight="1" thickBot="1">
      <c r="A158" s="34"/>
      <c r="B158" s="35"/>
      <c r="C158" s="27"/>
      <c r="D158" s="27"/>
      <c r="E158" s="27"/>
      <c r="F158" s="103"/>
      <c r="G158" s="103"/>
      <c r="H158" s="103"/>
      <c r="I158" s="103"/>
      <c r="J158" s="27"/>
      <c r="K158" s="27"/>
      <c r="L158" s="27"/>
      <c r="M158" s="27"/>
      <c r="N158" s="27"/>
      <c r="O158" s="27"/>
      <c r="P158" s="27"/>
      <c r="Q158" s="27"/>
      <c r="R158" s="14"/>
      <c r="S158" s="1">
        <v>1</v>
      </c>
    </row>
    <row r="159" spans="1:23" s="5" customFormat="1" ht="14.25">
      <c r="A159" s="17" t="s">
        <v>140</v>
      </c>
      <c r="B159" s="18"/>
      <c r="C159" s="19"/>
      <c r="D159" s="28"/>
      <c r="E159" s="28"/>
      <c r="F159" s="104"/>
      <c r="G159" s="104"/>
      <c r="H159" s="104"/>
      <c r="I159" s="104"/>
      <c r="J159" s="19"/>
      <c r="K159" s="28"/>
      <c r="L159" s="28"/>
      <c r="M159" s="28"/>
      <c r="N159" s="28"/>
      <c r="O159" s="28"/>
      <c r="P159" s="28"/>
      <c r="Q159" s="28"/>
      <c r="R159" s="21"/>
      <c r="S159" s="1">
        <v>1</v>
      </c>
    </row>
    <row r="160" spans="1:23" s="6" customFormat="1" ht="14.25">
      <c r="A160" s="22">
        <v>1</v>
      </c>
      <c r="B160" s="23" t="s">
        <v>141</v>
      </c>
      <c r="C160" s="24">
        <v>19</v>
      </c>
      <c r="D160" s="38">
        <f>'[2]1.RSP Districts '!D158</f>
        <v>19</v>
      </c>
      <c r="E160" s="38">
        <f t="shared" ref="E160:E175" si="37">D160</f>
        <v>19</v>
      </c>
      <c r="F160" s="102">
        <f t="shared" ref="F160:F176" si="38">(E160-D160)/D160%</f>
        <v>0</v>
      </c>
      <c r="G160" s="102">
        <f t="shared" ref="G160:G176" si="39">E160/C160%</f>
        <v>100</v>
      </c>
      <c r="H160" s="38">
        <v>174</v>
      </c>
      <c r="I160" s="38">
        <f t="shared" ref="I160:I170" si="40">H160</f>
        <v>174</v>
      </c>
      <c r="J160" s="29">
        <v>46469.594594594593</v>
      </c>
      <c r="K160" s="38">
        <v>24167</v>
      </c>
      <c r="L160" s="38">
        <v>27035</v>
      </c>
      <c r="M160" s="102">
        <f t="shared" ref="M160:M176" si="41">(L160-K160)/K160%</f>
        <v>11.867422518310093</v>
      </c>
      <c r="N160" s="102">
        <f t="shared" ref="N160:N176" si="42">L160/J160%</f>
        <v>58.177826245001818</v>
      </c>
      <c r="O160" s="38">
        <v>1299</v>
      </c>
      <c r="P160" s="38">
        <v>1557</v>
      </c>
      <c r="Q160" s="102">
        <f t="shared" ref="Q160:Q176" si="43">(P160-O160)/O160%</f>
        <v>19.861431870669744</v>
      </c>
      <c r="R160" s="31" t="s">
        <v>5</v>
      </c>
      <c r="S160" s="1">
        <v>1</v>
      </c>
      <c r="W160" s="225">
        <f>I160-'[3]1.RSP Districts '!I160</f>
        <v>174</v>
      </c>
    </row>
    <row r="161" spans="1:23" s="6" customFormat="1" ht="14.25">
      <c r="A161" s="22">
        <v>1</v>
      </c>
      <c r="B161" s="23" t="s">
        <v>166</v>
      </c>
      <c r="C161" s="24">
        <v>19</v>
      </c>
      <c r="D161" s="24">
        <v>10</v>
      </c>
      <c r="E161" s="24">
        <f t="shared" si="37"/>
        <v>10</v>
      </c>
      <c r="F161" s="102">
        <f t="shared" si="38"/>
        <v>0</v>
      </c>
      <c r="G161" s="102">
        <f t="shared" si="39"/>
        <v>52.631578947368418</v>
      </c>
      <c r="H161" s="24">
        <v>53</v>
      </c>
      <c r="I161" s="24">
        <f t="shared" si="40"/>
        <v>53</v>
      </c>
      <c r="J161" s="24">
        <v>46469.594594594593</v>
      </c>
      <c r="K161" s="24">
        <v>672</v>
      </c>
      <c r="L161" s="24">
        <f>K161</f>
        <v>672</v>
      </c>
      <c r="M161" s="102">
        <f t="shared" si="41"/>
        <v>0</v>
      </c>
      <c r="N161" s="102">
        <f t="shared" si="42"/>
        <v>1.4461068702290076</v>
      </c>
      <c r="O161" s="24">
        <v>32</v>
      </c>
      <c r="P161" s="24">
        <f>O161</f>
        <v>32</v>
      </c>
      <c r="Q161" s="102">
        <f t="shared" si="43"/>
        <v>0</v>
      </c>
      <c r="R161" s="31" t="s">
        <v>1</v>
      </c>
      <c r="S161" s="1">
        <v>1</v>
      </c>
    </row>
    <row r="162" spans="1:23" s="6" customFormat="1" ht="14.25">
      <c r="A162" s="22">
        <v>2</v>
      </c>
      <c r="B162" s="23" t="s">
        <v>165</v>
      </c>
      <c r="C162" s="24">
        <v>13</v>
      </c>
      <c r="D162" s="38">
        <f>'[2]1.RSP Districts '!D160</f>
        <v>5</v>
      </c>
      <c r="E162" s="38">
        <f t="shared" si="37"/>
        <v>5</v>
      </c>
      <c r="F162" s="102">
        <f t="shared" si="38"/>
        <v>0</v>
      </c>
      <c r="G162" s="102">
        <f t="shared" si="39"/>
        <v>38.46153846153846</v>
      </c>
      <c r="H162" s="38">
        <f>'[2]1.RSP Districts '!H160</f>
        <v>161</v>
      </c>
      <c r="I162" s="38">
        <f t="shared" si="40"/>
        <v>161</v>
      </c>
      <c r="J162" s="29">
        <v>21296</v>
      </c>
      <c r="K162" s="38">
        <v>12914</v>
      </c>
      <c r="L162" s="38">
        <f>K162</f>
        <v>12914</v>
      </c>
      <c r="M162" s="102">
        <f t="shared" si="41"/>
        <v>0</v>
      </c>
      <c r="N162" s="102">
        <f t="shared" si="42"/>
        <v>60.640495867768593</v>
      </c>
      <c r="O162" s="38">
        <v>593</v>
      </c>
      <c r="P162" s="38">
        <f>O162</f>
        <v>593</v>
      </c>
      <c r="Q162" s="102">
        <f t="shared" si="43"/>
        <v>0</v>
      </c>
      <c r="R162" s="31" t="s">
        <v>5</v>
      </c>
      <c r="S162" s="1">
        <v>1</v>
      </c>
      <c r="W162" s="225">
        <f>I162-'[3]1.RSP Districts '!I162</f>
        <v>161</v>
      </c>
    </row>
    <row r="163" spans="1:23" s="6" customFormat="1" ht="14.25">
      <c r="A163" s="22">
        <v>2</v>
      </c>
      <c r="B163" s="23" t="s">
        <v>167</v>
      </c>
      <c r="C163" s="24">
        <v>13</v>
      </c>
      <c r="D163" s="24">
        <v>10</v>
      </c>
      <c r="E163" s="24">
        <f t="shared" si="37"/>
        <v>10</v>
      </c>
      <c r="F163" s="102">
        <f t="shared" si="38"/>
        <v>0</v>
      </c>
      <c r="G163" s="102">
        <f t="shared" si="39"/>
        <v>76.92307692307692</v>
      </c>
      <c r="H163" s="24">
        <v>77</v>
      </c>
      <c r="I163" s="24">
        <f t="shared" si="40"/>
        <v>77</v>
      </c>
      <c r="J163" s="24">
        <v>21296</v>
      </c>
      <c r="K163" s="24">
        <v>16770</v>
      </c>
      <c r="L163" s="24">
        <f>K163</f>
        <v>16770</v>
      </c>
      <c r="M163" s="102">
        <f t="shared" si="41"/>
        <v>0</v>
      </c>
      <c r="N163" s="102">
        <f t="shared" si="42"/>
        <v>78.747182569496616</v>
      </c>
      <c r="O163" s="24">
        <v>827</v>
      </c>
      <c r="P163" s="24">
        <f>O163</f>
        <v>827</v>
      </c>
      <c r="Q163" s="102">
        <f t="shared" si="43"/>
        <v>0</v>
      </c>
      <c r="R163" s="31" t="s">
        <v>1</v>
      </c>
      <c r="S163" s="1">
        <v>1</v>
      </c>
    </row>
    <row r="164" spans="1:23" s="6" customFormat="1" ht="14.25">
      <c r="A164" s="22">
        <v>3</v>
      </c>
      <c r="B164" s="23" t="s">
        <v>142</v>
      </c>
      <c r="C164" s="24">
        <v>38</v>
      </c>
      <c r="D164" s="38">
        <f>'[2]1.RSP Districts '!D162</f>
        <v>33</v>
      </c>
      <c r="E164" s="38">
        <f t="shared" si="37"/>
        <v>33</v>
      </c>
      <c r="F164" s="102">
        <f t="shared" si="38"/>
        <v>0</v>
      </c>
      <c r="G164" s="102">
        <f t="shared" si="39"/>
        <v>86.84210526315789</v>
      </c>
      <c r="H164" s="38">
        <v>190</v>
      </c>
      <c r="I164" s="38">
        <f t="shared" si="40"/>
        <v>190</v>
      </c>
      <c r="J164" s="29">
        <v>67482.876712328754</v>
      </c>
      <c r="K164" s="38">
        <v>39946</v>
      </c>
      <c r="L164" s="38">
        <v>42419</v>
      </c>
      <c r="M164" s="102">
        <f t="shared" si="41"/>
        <v>6.1908576578380821</v>
      </c>
      <c r="N164" s="102">
        <f t="shared" si="42"/>
        <v>62.858908906368953</v>
      </c>
      <c r="O164" s="38">
        <v>2310</v>
      </c>
      <c r="P164" s="38">
        <v>2402</v>
      </c>
      <c r="Q164" s="102">
        <f t="shared" si="43"/>
        <v>3.9826839826839824</v>
      </c>
      <c r="R164" s="31" t="s">
        <v>5</v>
      </c>
      <c r="S164" s="1">
        <v>1</v>
      </c>
      <c r="W164" s="225">
        <f>I164-'[3]1.RSP Districts '!I164</f>
        <v>190</v>
      </c>
    </row>
    <row r="165" spans="1:23" s="6" customFormat="1" ht="14.25">
      <c r="A165" s="22">
        <v>3</v>
      </c>
      <c r="B165" s="23" t="s">
        <v>143</v>
      </c>
      <c r="C165" s="24">
        <v>38</v>
      </c>
      <c r="D165" s="24">
        <v>36</v>
      </c>
      <c r="E165" s="24">
        <f t="shared" si="37"/>
        <v>36</v>
      </c>
      <c r="F165" s="102">
        <f t="shared" si="38"/>
        <v>0</v>
      </c>
      <c r="G165" s="102">
        <f t="shared" si="39"/>
        <v>94.73684210526315</v>
      </c>
      <c r="H165" s="24">
        <v>95</v>
      </c>
      <c r="I165" s="24">
        <f t="shared" si="40"/>
        <v>95</v>
      </c>
      <c r="J165" s="24">
        <v>67482.876712328754</v>
      </c>
      <c r="K165" s="24">
        <v>13807</v>
      </c>
      <c r="L165" s="24">
        <f>K165</f>
        <v>13807</v>
      </c>
      <c r="M165" s="102">
        <f t="shared" si="41"/>
        <v>0</v>
      </c>
      <c r="N165" s="102">
        <f t="shared" si="42"/>
        <v>20.460005074854102</v>
      </c>
      <c r="O165" s="24">
        <v>566</v>
      </c>
      <c r="P165" s="24">
        <f>O165</f>
        <v>566</v>
      </c>
      <c r="Q165" s="102">
        <f t="shared" si="43"/>
        <v>0</v>
      </c>
      <c r="R165" s="31" t="s">
        <v>1</v>
      </c>
      <c r="S165" s="1">
        <v>1</v>
      </c>
    </row>
    <row r="166" spans="1:23" s="6" customFormat="1" ht="14.25">
      <c r="A166" s="22">
        <v>4</v>
      </c>
      <c r="B166" s="23" t="s">
        <v>282</v>
      </c>
      <c r="C166" s="24">
        <v>32</v>
      </c>
      <c r="D166" s="38">
        <f>'[2]1.RSP Districts '!D164</f>
        <v>18</v>
      </c>
      <c r="E166" s="38">
        <f t="shared" si="37"/>
        <v>18</v>
      </c>
      <c r="F166" s="102">
        <f t="shared" si="38"/>
        <v>0</v>
      </c>
      <c r="G166" s="102">
        <f t="shared" si="39"/>
        <v>56.25</v>
      </c>
      <c r="H166" s="38">
        <f>'[2]1.RSP Districts '!H164</f>
        <v>415</v>
      </c>
      <c r="I166" s="38">
        <f t="shared" si="40"/>
        <v>415</v>
      </c>
      <c r="J166" s="24">
        <v>60712</v>
      </c>
      <c r="K166" s="38">
        <v>21451</v>
      </c>
      <c r="L166" s="38">
        <f>K166</f>
        <v>21451</v>
      </c>
      <c r="M166" s="102">
        <f t="shared" si="41"/>
        <v>0</v>
      </c>
      <c r="N166" s="102">
        <f t="shared" si="42"/>
        <v>35.332388984055868</v>
      </c>
      <c r="O166" s="38">
        <v>992</v>
      </c>
      <c r="P166" s="38">
        <f>O166</f>
        <v>992</v>
      </c>
      <c r="Q166" s="102">
        <f t="shared" si="43"/>
        <v>0</v>
      </c>
      <c r="R166" s="31" t="s">
        <v>5</v>
      </c>
      <c r="S166" s="1">
        <v>1</v>
      </c>
      <c r="W166" s="225">
        <f>I166-'[3]1.RSP Districts '!I166</f>
        <v>415</v>
      </c>
    </row>
    <row r="167" spans="1:23" s="6" customFormat="1" ht="14.25">
      <c r="A167" s="22">
        <v>4</v>
      </c>
      <c r="B167" s="23" t="s">
        <v>283</v>
      </c>
      <c r="C167" s="24">
        <v>32</v>
      </c>
      <c r="D167" s="24">
        <v>26</v>
      </c>
      <c r="E167" s="24">
        <f t="shared" si="37"/>
        <v>26</v>
      </c>
      <c r="F167" s="102">
        <f t="shared" si="38"/>
        <v>0</v>
      </c>
      <c r="G167" s="102">
        <f t="shared" si="39"/>
        <v>81.25</v>
      </c>
      <c r="H167" s="24">
        <v>81</v>
      </c>
      <c r="I167" s="24">
        <f t="shared" si="40"/>
        <v>81</v>
      </c>
      <c r="J167" s="24">
        <v>60712</v>
      </c>
      <c r="K167" s="24">
        <v>45689</v>
      </c>
      <c r="L167" s="24">
        <f>K167</f>
        <v>45689</v>
      </c>
      <c r="M167" s="102">
        <f t="shared" si="41"/>
        <v>0</v>
      </c>
      <c r="N167" s="102">
        <f t="shared" si="42"/>
        <v>75.255303729081561</v>
      </c>
      <c r="O167" s="24">
        <v>2192</v>
      </c>
      <c r="P167" s="24">
        <f>O167</f>
        <v>2192</v>
      </c>
      <c r="Q167" s="102">
        <f t="shared" si="43"/>
        <v>0</v>
      </c>
      <c r="R167" s="31" t="s">
        <v>1</v>
      </c>
      <c r="S167" s="1">
        <v>1</v>
      </c>
    </row>
    <row r="168" spans="1:23" s="6" customFormat="1" ht="14.25">
      <c r="A168" s="22">
        <v>5</v>
      </c>
      <c r="B168" s="23" t="s">
        <v>144</v>
      </c>
      <c r="C168" s="24">
        <v>9</v>
      </c>
      <c r="D168" s="38">
        <f>'[2]1.RSP Districts '!D166</f>
        <v>9</v>
      </c>
      <c r="E168" s="38">
        <f t="shared" si="37"/>
        <v>9</v>
      </c>
      <c r="F168" s="102">
        <f t="shared" si="38"/>
        <v>0</v>
      </c>
      <c r="G168" s="102">
        <f t="shared" si="39"/>
        <v>100</v>
      </c>
      <c r="H168" s="38">
        <f>'[2]1.RSP Districts '!H166</f>
        <v>85</v>
      </c>
      <c r="I168" s="38">
        <f t="shared" si="40"/>
        <v>85</v>
      </c>
      <c r="J168" s="24">
        <v>15648.786335031467</v>
      </c>
      <c r="K168" s="38">
        <v>7213</v>
      </c>
      <c r="L168" s="38">
        <f>K168</f>
        <v>7213</v>
      </c>
      <c r="M168" s="102">
        <f t="shared" si="41"/>
        <v>0</v>
      </c>
      <c r="N168" s="102">
        <f t="shared" si="42"/>
        <v>46.093031405591717</v>
      </c>
      <c r="O168" s="38">
        <v>331</v>
      </c>
      <c r="P168" s="38">
        <f>O168</f>
        <v>331</v>
      </c>
      <c r="Q168" s="102">
        <f t="shared" si="43"/>
        <v>0</v>
      </c>
      <c r="R168" s="31" t="s">
        <v>5</v>
      </c>
      <c r="S168" s="1">
        <v>1</v>
      </c>
      <c r="W168" s="225">
        <f>I168-'[3]1.RSP Districts '!I168</f>
        <v>85</v>
      </c>
    </row>
    <row r="169" spans="1:23" s="6" customFormat="1" ht="14.25">
      <c r="A169" s="22">
        <v>5</v>
      </c>
      <c r="B169" s="23" t="s">
        <v>145</v>
      </c>
      <c r="C169" s="24">
        <v>9</v>
      </c>
      <c r="D169" s="24">
        <v>9</v>
      </c>
      <c r="E169" s="24">
        <f t="shared" si="37"/>
        <v>9</v>
      </c>
      <c r="F169" s="102">
        <f t="shared" si="38"/>
        <v>0</v>
      </c>
      <c r="G169" s="102">
        <f t="shared" si="39"/>
        <v>100</v>
      </c>
      <c r="H169" s="24">
        <v>100</v>
      </c>
      <c r="I169" s="24">
        <f t="shared" si="40"/>
        <v>100</v>
      </c>
      <c r="J169" s="24">
        <v>15648.786335031467</v>
      </c>
      <c r="K169" s="24">
        <v>6722</v>
      </c>
      <c r="L169" s="24">
        <f>K169</f>
        <v>6722</v>
      </c>
      <c r="M169" s="102">
        <f t="shared" si="41"/>
        <v>0</v>
      </c>
      <c r="N169" s="102">
        <f t="shared" si="42"/>
        <v>42.955407889697426</v>
      </c>
      <c r="O169" s="24">
        <v>267</v>
      </c>
      <c r="P169" s="24">
        <f>O169</f>
        <v>267</v>
      </c>
      <c r="Q169" s="102">
        <f t="shared" si="43"/>
        <v>0</v>
      </c>
      <c r="R169" s="31" t="s">
        <v>1</v>
      </c>
      <c r="S169" s="1">
        <v>1</v>
      </c>
    </row>
    <row r="170" spans="1:23" s="6" customFormat="1" ht="14.25">
      <c r="A170" s="22">
        <v>6</v>
      </c>
      <c r="B170" s="23" t="s">
        <v>146</v>
      </c>
      <c r="C170" s="24">
        <v>25</v>
      </c>
      <c r="D170" s="38">
        <v>26</v>
      </c>
      <c r="E170" s="38">
        <f t="shared" si="37"/>
        <v>26</v>
      </c>
      <c r="F170" s="102">
        <f t="shared" si="38"/>
        <v>0</v>
      </c>
      <c r="G170" s="102">
        <f t="shared" si="39"/>
        <v>104</v>
      </c>
      <c r="H170" s="38">
        <v>125</v>
      </c>
      <c r="I170" s="38">
        <f t="shared" si="40"/>
        <v>125</v>
      </c>
      <c r="J170" s="29">
        <v>47319.07894736842</v>
      </c>
      <c r="K170" s="38">
        <v>40962</v>
      </c>
      <c r="L170" s="38">
        <v>43833</v>
      </c>
      <c r="M170" s="102">
        <f t="shared" si="41"/>
        <v>7.0089351105903033</v>
      </c>
      <c r="N170" s="102">
        <f t="shared" si="42"/>
        <v>92.632825860271112</v>
      </c>
      <c r="O170" s="38">
        <v>2117</v>
      </c>
      <c r="P170" s="38">
        <v>2305</v>
      </c>
      <c r="Q170" s="102">
        <f t="shared" si="43"/>
        <v>8.8804912612187046</v>
      </c>
      <c r="R170" s="31" t="s">
        <v>5</v>
      </c>
      <c r="S170" s="1">
        <v>1</v>
      </c>
      <c r="W170" s="225">
        <f>I170-'[3]1.RSP Districts '!I170</f>
        <v>125</v>
      </c>
    </row>
    <row r="171" spans="1:23" s="130" customFormat="1" ht="14.25">
      <c r="A171" s="22">
        <v>6</v>
      </c>
      <c r="B171" s="23" t="s">
        <v>284</v>
      </c>
      <c r="C171" s="24">
        <v>25</v>
      </c>
      <c r="D171" s="24">
        <v>12</v>
      </c>
      <c r="E171" s="24">
        <f t="shared" si="37"/>
        <v>12</v>
      </c>
      <c r="F171" s="102">
        <f t="shared" si="38"/>
        <v>0</v>
      </c>
      <c r="G171" s="102">
        <f t="shared" si="39"/>
        <v>48</v>
      </c>
      <c r="H171" s="24">
        <v>48</v>
      </c>
      <c r="I171" s="24">
        <f t="shared" ref="I171:I172" si="44">H171</f>
        <v>48</v>
      </c>
      <c r="J171" s="29">
        <v>47319.07894736842</v>
      </c>
      <c r="K171" s="24">
        <v>4523</v>
      </c>
      <c r="L171" s="24">
        <f>K171</f>
        <v>4523</v>
      </c>
      <c r="M171" s="102">
        <f t="shared" si="41"/>
        <v>0</v>
      </c>
      <c r="N171" s="102">
        <f t="shared" si="42"/>
        <v>9.5585123392422666</v>
      </c>
      <c r="O171" s="24">
        <v>260</v>
      </c>
      <c r="P171" s="24">
        <f>O171</f>
        <v>260</v>
      </c>
      <c r="Q171" s="102">
        <f t="shared" si="43"/>
        <v>0</v>
      </c>
      <c r="R171" s="31" t="s">
        <v>1</v>
      </c>
      <c r="S171" s="1">
        <v>1</v>
      </c>
    </row>
    <row r="172" spans="1:23" s="6" customFormat="1" ht="14.25">
      <c r="A172" s="22">
        <v>7</v>
      </c>
      <c r="B172" s="23" t="s">
        <v>147</v>
      </c>
      <c r="C172" s="24">
        <v>18</v>
      </c>
      <c r="D172" s="24">
        <v>18</v>
      </c>
      <c r="E172" s="24">
        <f t="shared" si="37"/>
        <v>18</v>
      </c>
      <c r="F172" s="102">
        <f t="shared" si="38"/>
        <v>0</v>
      </c>
      <c r="G172" s="102">
        <f t="shared" si="39"/>
        <v>100</v>
      </c>
      <c r="H172" s="24">
        <v>100</v>
      </c>
      <c r="I172" s="24">
        <f t="shared" si="44"/>
        <v>100</v>
      </c>
      <c r="J172" s="24">
        <v>54333</v>
      </c>
      <c r="K172" s="24">
        <v>5541</v>
      </c>
      <c r="L172" s="24">
        <f>K172</f>
        <v>5541</v>
      </c>
      <c r="M172" s="102">
        <f t="shared" si="41"/>
        <v>0</v>
      </c>
      <c r="N172" s="102">
        <f t="shared" si="42"/>
        <v>10.198222074982054</v>
      </c>
      <c r="O172" s="24">
        <v>227</v>
      </c>
      <c r="P172" s="24">
        <f>O172</f>
        <v>227</v>
      </c>
      <c r="Q172" s="102">
        <f t="shared" si="43"/>
        <v>0</v>
      </c>
      <c r="R172" s="31" t="s">
        <v>1</v>
      </c>
      <c r="S172" s="1">
        <v>1</v>
      </c>
    </row>
    <row r="173" spans="1:23" s="6" customFormat="1" ht="14.25">
      <c r="A173" s="22">
        <v>8</v>
      </c>
      <c r="B173" s="23" t="s">
        <v>148</v>
      </c>
      <c r="C173" s="24">
        <v>12</v>
      </c>
      <c r="D173" s="38">
        <f>'[2]1.RSP Districts '!D171</f>
        <v>13</v>
      </c>
      <c r="E173" s="38">
        <f t="shared" si="37"/>
        <v>13</v>
      </c>
      <c r="F173" s="102">
        <f t="shared" si="38"/>
        <v>0</v>
      </c>
      <c r="G173" s="102">
        <f t="shared" si="39"/>
        <v>108.33333333333334</v>
      </c>
      <c r="H173" s="38">
        <f>'[2]1.RSP Districts '!H171</f>
        <v>25</v>
      </c>
      <c r="I173" s="38">
        <f>H173</f>
        <v>25</v>
      </c>
      <c r="J173" s="29">
        <v>26849.31506849315</v>
      </c>
      <c r="K173" s="38">
        <v>13915</v>
      </c>
      <c r="L173" s="38">
        <v>15186</v>
      </c>
      <c r="M173" s="102">
        <f t="shared" si="41"/>
        <v>9.1340280273086591</v>
      </c>
      <c r="N173" s="102">
        <f t="shared" si="42"/>
        <v>56.560102040816332</v>
      </c>
      <c r="O173" s="38">
        <v>752</v>
      </c>
      <c r="P173" s="38">
        <v>834</v>
      </c>
      <c r="Q173" s="102">
        <f t="shared" si="43"/>
        <v>10.904255319148938</v>
      </c>
      <c r="R173" s="31" t="s">
        <v>5</v>
      </c>
      <c r="S173" s="1">
        <v>1</v>
      </c>
      <c r="W173" s="225">
        <f>I173-'[3]1.RSP Districts '!I173</f>
        <v>25</v>
      </c>
    </row>
    <row r="174" spans="1:23" s="6" customFormat="1" ht="14.25">
      <c r="A174" s="22">
        <v>9</v>
      </c>
      <c r="B174" s="23" t="s">
        <v>149</v>
      </c>
      <c r="C174" s="24">
        <v>22</v>
      </c>
      <c r="D174" s="24">
        <v>15</v>
      </c>
      <c r="E174" s="24">
        <f t="shared" si="37"/>
        <v>15</v>
      </c>
      <c r="F174" s="102">
        <f t="shared" si="38"/>
        <v>0</v>
      </c>
      <c r="G174" s="102">
        <f t="shared" si="39"/>
        <v>68.181818181818187</v>
      </c>
      <c r="H174" s="24">
        <v>68</v>
      </c>
      <c r="I174" s="24">
        <f>H174</f>
        <v>68</v>
      </c>
      <c r="J174" s="24">
        <v>40208</v>
      </c>
      <c r="K174" s="24">
        <v>8596</v>
      </c>
      <c r="L174" s="24">
        <f>K174</f>
        <v>8596</v>
      </c>
      <c r="M174" s="102">
        <f t="shared" si="41"/>
        <v>0</v>
      </c>
      <c r="N174" s="102">
        <f t="shared" si="42"/>
        <v>21.378830083565461</v>
      </c>
      <c r="O174" s="24">
        <v>379</v>
      </c>
      <c r="P174" s="24">
        <f>O174</f>
        <v>379</v>
      </c>
      <c r="Q174" s="102">
        <f t="shared" si="43"/>
        <v>0</v>
      </c>
      <c r="R174" s="31" t="s">
        <v>1</v>
      </c>
      <c r="S174" s="1">
        <v>1</v>
      </c>
    </row>
    <row r="175" spans="1:23" s="6" customFormat="1" thickBot="1">
      <c r="A175" s="36">
        <v>10</v>
      </c>
      <c r="B175" s="37" t="s">
        <v>164</v>
      </c>
      <c r="C175" s="38">
        <v>8</v>
      </c>
      <c r="D175" s="38">
        <f>'[2]1.RSP Districts '!D173</f>
        <v>8</v>
      </c>
      <c r="E175" s="38">
        <f t="shared" si="37"/>
        <v>8</v>
      </c>
      <c r="F175" s="134">
        <f t="shared" si="38"/>
        <v>0</v>
      </c>
      <c r="G175" s="134">
        <f t="shared" si="39"/>
        <v>100</v>
      </c>
      <c r="H175" s="38">
        <f>'[2]1.RSP Districts '!H173</f>
        <v>88</v>
      </c>
      <c r="I175" s="38">
        <f>H175</f>
        <v>88</v>
      </c>
      <c r="J175" s="39">
        <v>18651</v>
      </c>
      <c r="K175" s="38">
        <v>11333</v>
      </c>
      <c r="L175" s="38">
        <v>12296</v>
      </c>
      <c r="M175" s="134">
        <f t="shared" si="41"/>
        <v>8.4973087443748341</v>
      </c>
      <c r="N175" s="134">
        <f t="shared" si="42"/>
        <v>65.926759959251513</v>
      </c>
      <c r="O175" s="38">
        <v>679</v>
      </c>
      <c r="P175" s="38">
        <v>792</v>
      </c>
      <c r="Q175" s="134">
        <f t="shared" si="43"/>
        <v>16.642120765832107</v>
      </c>
      <c r="R175" s="41" t="s">
        <v>5</v>
      </c>
      <c r="S175" s="1">
        <v>1</v>
      </c>
      <c r="W175" s="225">
        <f>I175-'[3]1.RSP Districts '!I175</f>
        <v>88</v>
      </c>
    </row>
    <row r="176" spans="1:23" s="4" customFormat="1" ht="15.75" thickBot="1">
      <c r="A176" s="150">
        <f>COUNTIF(R160:R175,"*")-6</f>
        <v>10</v>
      </c>
      <c r="B176" s="149" t="s">
        <v>33</v>
      </c>
      <c r="C176" s="56">
        <f>(C160+C162+C164+C166+C168+C170+C172+C173+C174+C175)</f>
        <v>196</v>
      </c>
      <c r="D176" s="56">
        <f>(D160+D163+D165+D167+D169+D170+D172+D173+D174+D175)</f>
        <v>180</v>
      </c>
      <c r="E176" s="56">
        <f>(E160+E163+E165+E167+E169+E170+E172+E173+E174+E175)</f>
        <v>180</v>
      </c>
      <c r="F176" s="151">
        <f t="shared" si="38"/>
        <v>0</v>
      </c>
      <c r="G176" s="151">
        <f t="shared" si="39"/>
        <v>91.83673469387756</v>
      </c>
      <c r="H176" s="151">
        <f>SUM(H160:H175)</f>
        <v>1885</v>
      </c>
      <c r="I176" s="151">
        <f>SUM(I160:I175)</f>
        <v>1885</v>
      </c>
      <c r="J176" s="56">
        <f>(J160+J162+J164+J166+J168+J170+J172+J173+J174+J175)</f>
        <v>398969.65165781637</v>
      </c>
      <c r="K176" s="56">
        <f>SUM(K160:K175)</f>
        <v>274221</v>
      </c>
      <c r="L176" s="56">
        <f>SUM(L160:L175)</f>
        <v>284667</v>
      </c>
      <c r="M176" s="151">
        <f t="shared" si="41"/>
        <v>3.8093362652750882</v>
      </c>
      <c r="N176" s="151">
        <f t="shared" si="42"/>
        <v>71.350539775930088</v>
      </c>
      <c r="O176" s="56">
        <f>SUM(O160:O175)</f>
        <v>13823</v>
      </c>
      <c r="P176" s="56">
        <f>SUM(P160:P175)</f>
        <v>14556</v>
      </c>
      <c r="Q176" s="151">
        <f t="shared" si="43"/>
        <v>5.3027562757722642</v>
      </c>
      <c r="R176" s="153"/>
      <c r="S176" s="1">
        <v>1</v>
      </c>
    </row>
    <row r="177" spans="1:21" ht="13.5" customHeight="1" thickBot="1">
      <c r="A177" s="34"/>
      <c r="B177" s="35"/>
      <c r="C177" s="27"/>
      <c r="D177" s="27"/>
      <c r="E177" s="27"/>
      <c r="F177" s="103"/>
      <c r="G177" s="103"/>
      <c r="H177" s="103"/>
      <c r="I177" s="103"/>
      <c r="J177" s="27"/>
      <c r="K177" s="27"/>
      <c r="L177" s="27"/>
      <c r="M177" s="27"/>
      <c r="N177" s="27"/>
      <c r="O177" s="27"/>
      <c r="P177" s="27"/>
      <c r="Q177" s="27"/>
      <c r="R177" s="14"/>
      <c r="S177" s="1">
        <v>1</v>
      </c>
    </row>
    <row r="178" spans="1:21" s="5" customFormat="1" ht="14.25">
      <c r="A178" s="17" t="s">
        <v>150</v>
      </c>
      <c r="B178" s="18"/>
      <c r="C178" s="19"/>
      <c r="D178" s="28"/>
      <c r="E178" s="28"/>
      <c r="F178" s="104"/>
      <c r="G178" s="104"/>
      <c r="H178" s="104"/>
      <c r="I178" s="104"/>
      <c r="J178" s="19"/>
      <c r="K178" s="28"/>
      <c r="L178" s="28"/>
      <c r="M178" s="28"/>
      <c r="N178" s="28"/>
      <c r="O178" s="28"/>
      <c r="P178" s="28"/>
      <c r="Q178" s="28"/>
      <c r="R178" s="21"/>
      <c r="S178" s="1">
        <v>1</v>
      </c>
    </row>
    <row r="179" spans="1:21" s="6" customFormat="1" ht="14.25">
      <c r="A179" s="22">
        <v>1</v>
      </c>
      <c r="B179" s="23" t="s">
        <v>151</v>
      </c>
      <c r="C179" s="24">
        <v>8</v>
      </c>
      <c r="D179" s="24">
        <v>8</v>
      </c>
      <c r="E179" s="24">
        <f>'[15]1.RSP Districts '!E174</f>
        <v>8</v>
      </c>
      <c r="F179" s="102">
        <f t="shared" ref="F179:F186" si="45">(E179-D179)/D179%</f>
        <v>0</v>
      </c>
      <c r="G179" s="102">
        <f t="shared" ref="G179:G186" si="46">E179/C179%</f>
        <v>100</v>
      </c>
      <c r="H179" s="135">
        <v>44</v>
      </c>
      <c r="I179" s="24">
        <f>'[15]1.RSP Districts '!I174</f>
        <v>44</v>
      </c>
      <c r="J179" s="29">
        <v>10999.903096902348</v>
      </c>
      <c r="K179" s="24">
        <v>6444</v>
      </c>
      <c r="L179" s="24">
        <f>'[15]1.RSP Districts '!L174</f>
        <v>6444</v>
      </c>
      <c r="M179" s="102">
        <f t="shared" ref="M179:M186" si="47">(L179-K179)/K179%</f>
        <v>0</v>
      </c>
      <c r="N179" s="102">
        <f t="shared" ref="N179:N186" si="48">L179/J179%</f>
        <v>58.582334255423369</v>
      </c>
      <c r="O179" s="24">
        <v>333</v>
      </c>
      <c r="P179" s="24">
        <f>'[15]1.RSP Districts '!P174</f>
        <v>333</v>
      </c>
      <c r="Q179" s="102">
        <f t="shared" ref="Q179:Q186" si="49">(P179-O179)/O179%</f>
        <v>0</v>
      </c>
      <c r="R179" s="31" t="s">
        <v>2</v>
      </c>
      <c r="S179" s="1">
        <v>1</v>
      </c>
    </row>
    <row r="180" spans="1:21" s="6" customFormat="1" ht="14.25">
      <c r="A180" s="22">
        <v>2</v>
      </c>
      <c r="B180" s="23" t="s">
        <v>193</v>
      </c>
      <c r="C180" s="24">
        <v>9</v>
      </c>
      <c r="D180" s="24"/>
      <c r="E180" s="24"/>
      <c r="F180" s="102">
        <v>0</v>
      </c>
      <c r="G180" s="102">
        <f t="shared" si="46"/>
        <v>0</v>
      </c>
      <c r="H180" s="135"/>
      <c r="I180" s="135"/>
      <c r="J180" s="29">
        <v>0</v>
      </c>
      <c r="K180" s="24">
        <v>0</v>
      </c>
      <c r="L180" s="24"/>
      <c r="M180" s="102">
        <v>0</v>
      </c>
      <c r="N180" s="102">
        <v>0</v>
      </c>
      <c r="O180" s="24"/>
      <c r="P180" s="24"/>
      <c r="Q180" s="102">
        <v>0</v>
      </c>
      <c r="R180" s="79">
        <v>0</v>
      </c>
      <c r="S180" s="1">
        <v>1</v>
      </c>
    </row>
    <row r="181" spans="1:21" s="6" customFormat="1" ht="14.25">
      <c r="A181" s="22">
        <v>3</v>
      </c>
      <c r="B181" s="23" t="s">
        <v>152</v>
      </c>
      <c r="C181" s="24">
        <v>14</v>
      </c>
      <c r="D181" s="24">
        <v>14</v>
      </c>
      <c r="E181" s="24">
        <f>'[15]1.RSP Districts '!E176</f>
        <v>14</v>
      </c>
      <c r="F181" s="102">
        <f t="shared" si="45"/>
        <v>0</v>
      </c>
      <c r="G181" s="102">
        <f t="shared" si="46"/>
        <v>99.999999999999986</v>
      </c>
      <c r="H181" s="135">
        <v>56</v>
      </c>
      <c r="I181" s="24">
        <f>'[15]1.RSP Districts '!I176</f>
        <v>56</v>
      </c>
      <c r="J181" s="29">
        <v>18452.493081471035</v>
      </c>
      <c r="K181" s="24">
        <v>10401</v>
      </c>
      <c r="L181" s="24">
        <f>'[15]1.RSP Districts '!L176</f>
        <v>10401</v>
      </c>
      <c r="M181" s="102">
        <f t="shared" si="47"/>
        <v>0</v>
      </c>
      <c r="N181" s="102">
        <f t="shared" si="48"/>
        <v>56.366367157422779</v>
      </c>
      <c r="O181" s="24">
        <v>469</v>
      </c>
      <c r="P181" s="24">
        <f>'[15]1.RSP Districts '!P176</f>
        <v>469</v>
      </c>
      <c r="Q181" s="102">
        <f t="shared" si="49"/>
        <v>0</v>
      </c>
      <c r="R181" s="31" t="s">
        <v>2</v>
      </c>
      <c r="S181" s="1">
        <v>1</v>
      </c>
    </row>
    <row r="182" spans="1:21" s="6" customFormat="1" ht="14.25">
      <c r="A182" s="22">
        <v>4</v>
      </c>
      <c r="B182" s="23" t="s">
        <v>153</v>
      </c>
      <c r="C182" s="24">
        <v>16</v>
      </c>
      <c r="D182" s="24">
        <v>16</v>
      </c>
      <c r="E182" s="24">
        <f>'[15]1.RSP Districts '!E177</f>
        <v>16</v>
      </c>
      <c r="F182" s="102">
        <f t="shared" si="45"/>
        <v>0</v>
      </c>
      <c r="G182" s="102">
        <f t="shared" si="46"/>
        <v>100</v>
      </c>
      <c r="H182" s="135">
        <v>80</v>
      </c>
      <c r="I182" s="24">
        <f>'[15]1.RSP Districts '!I177</f>
        <v>80</v>
      </c>
      <c r="J182" s="29">
        <v>13563.115170309828</v>
      </c>
      <c r="K182" s="24">
        <v>12420</v>
      </c>
      <c r="L182" s="24">
        <f>'[15]1.RSP Districts '!L177</f>
        <v>12420</v>
      </c>
      <c r="M182" s="102">
        <f t="shared" si="47"/>
        <v>0</v>
      </c>
      <c r="N182" s="102">
        <f t="shared" si="48"/>
        <v>91.571883332435675</v>
      </c>
      <c r="O182" s="24">
        <v>548</v>
      </c>
      <c r="P182" s="24">
        <f>'[15]1.RSP Districts '!P177</f>
        <v>548</v>
      </c>
      <c r="Q182" s="102">
        <f t="shared" si="49"/>
        <v>0</v>
      </c>
      <c r="R182" s="31" t="s">
        <v>2</v>
      </c>
      <c r="S182" s="1">
        <v>1</v>
      </c>
    </row>
    <row r="183" spans="1:21" s="6" customFormat="1" ht="14.25">
      <c r="A183" s="22">
        <v>5</v>
      </c>
      <c r="B183" s="23" t="s">
        <v>154</v>
      </c>
      <c r="C183" s="24">
        <v>10</v>
      </c>
      <c r="D183" s="24">
        <v>10</v>
      </c>
      <c r="E183" s="24">
        <f>'[15]1.RSP Districts '!E178</f>
        <v>10</v>
      </c>
      <c r="F183" s="102">
        <f t="shared" si="45"/>
        <v>0</v>
      </c>
      <c r="G183" s="102">
        <f t="shared" si="46"/>
        <v>100</v>
      </c>
      <c r="H183" s="135">
        <v>56</v>
      </c>
      <c r="I183" s="24">
        <f>'[15]1.RSP Districts '!I178</f>
        <v>56</v>
      </c>
      <c r="J183" s="29">
        <v>17721</v>
      </c>
      <c r="K183" s="24">
        <v>10924</v>
      </c>
      <c r="L183" s="24">
        <f>'[15]1.RSP Districts '!L178</f>
        <v>10924</v>
      </c>
      <c r="M183" s="102">
        <f t="shared" si="47"/>
        <v>0</v>
      </c>
      <c r="N183" s="102">
        <f t="shared" si="48"/>
        <v>61.644376728175608</v>
      </c>
      <c r="O183" s="24">
        <v>434</v>
      </c>
      <c r="P183" s="24">
        <f>'[15]1.RSP Districts '!P178</f>
        <v>434</v>
      </c>
      <c r="Q183" s="102">
        <f t="shared" si="49"/>
        <v>0</v>
      </c>
      <c r="R183" s="31" t="s">
        <v>2</v>
      </c>
      <c r="S183" s="1">
        <v>1</v>
      </c>
    </row>
    <row r="184" spans="1:21" s="6" customFormat="1" ht="14.25">
      <c r="A184" s="22">
        <v>6</v>
      </c>
      <c r="B184" s="23" t="s">
        <v>155</v>
      </c>
      <c r="C184" s="24">
        <v>15</v>
      </c>
      <c r="D184" s="24">
        <v>15</v>
      </c>
      <c r="E184" s="24">
        <f>'[15]1.RSP Districts '!E179</f>
        <v>15</v>
      </c>
      <c r="F184" s="102">
        <f t="shared" si="45"/>
        <v>0</v>
      </c>
      <c r="G184" s="102">
        <f t="shared" si="46"/>
        <v>100</v>
      </c>
      <c r="H184" s="135">
        <v>83</v>
      </c>
      <c r="I184" s="24">
        <f>'[15]1.RSP Districts '!I179</f>
        <v>83</v>
      </c>
      <c r="J184" s="29">
        <v>12779</v>
      </c>
      <c r="K184" s="24">
        <v>11965</v>
      </c>
      <c r="L184" s="24">
        <f>'[15]1.RSP Districts '!L179</f>
        <v>11965</v>
      </c>
      <c r="M184" s="102">
        <f t="shared" si="47"/>
        <v>0</v>
      </c>
      <c r="N184" s="102">
        <f t="shared" si="48"/>
        <v>93.630174505047336</v>
      </c>
      <c r="O184" s="24">
        <v>507</v>
      </c>
      <c r="P184" s="24">
        <f>'[15]1.RSP Districts '!P179</f>
        <v>507</v>
      </c>
      <c r="Q184" s="102">
        <f t="shared" si="49"/>
        <v>0</v>
      </c>
      <c r="R184" s="31" t="s">
        <v>2</v>
      </c>
      <c r="S184" s="1">
        <v>1</v>
      </c>
    </row>
    <row r="185" spans="1:21" s="6" customFormat="1" thickBot="1">
      <c r="A185" s="36">
        <v>7</v>
      </c>
      <c r="B185" s="37" t="s">
        <v>156</v>
      </c>
      <c r="C185" s="38">
        <v>31</v>
      </c>
      <c r="D185" s="38">
        <v>31</v>
      </c>
      <c r="E185" s="24">
        <f>'[15]1.RSP Districts '!E180</f>
        <v>31</v>
      </c>
      <c r="F185" s="134">
        <f t="shared" si="45"/>
        <v>0</v>
      </c>
      <c r="G185" s="134">
        <f t="shared" si="46"/>
        <v>100</v>
      </c>
      <c r="H185" s="148">
        <v>167</v>
      </c>
      <c r="I185" s="24">
        <f>'[15]1.RSP Districts '!I180</f>
        <v>167</v>
      </c>
      <c r="J185" s="39">
        <v>35134.322614801174</v>
      </c>
      <c r="K185" s="38">
        <v>23627</v>
      </c>
      <c r="L185" s="24">
        <f>'[15]1.RSP Districts '!L180</f>
        <v>23627</v>
      </c>
      <c r="M185" s="134">
        <f t="shared" si="47"/>
        <v>0</v>
      </c>
      <c r="N185" s="134">
        <f t="shared" si="48"/>
        <v>67.247632063487004</v>
      </c>
      <c r="O185" s="38">
        <v>1093</v>
      </c>
      <c r="P185" s="24">
        <f>'[15]1.RSP Districts '!P180</f>
        <v>1093</v>
      </c>
      <c r="Q185" s="134">
        <f t="shared" si="49"/>
        <v>0</v>
      </c>
      <c r="R185" s="41" t="s">
        <v>2</v>
      </c>
      <c r="S185" s="1">
        <v>1</v>
      </c>
    </row>
    <row r="186" spans="1:21" s="4" customFormat="1" ht="15.75" thickBot="1">
      <c r="A186" s="150">
        <f>COUNTIF(R179:R185,"*")</f>
        <v>6</v>
      </c>
      <c r="B186" s="149" t="s">
        <v>33</v>
      </c>
      <c r="C186" s="56">
        <f>SUM(C179:C185)</f>
        <v>103</v>
      </c>
      <c r="D186" s="56">
        <f>SUM(D179:D185)</f>
        <v>94</v>
      </c>
      <c r="E186" s="56">
        <f>SUM(E179:E185)</f>
        <v>94</v>
      </c>
      <c r="F186" s="151">
        <f t="shared" si="45"/>
        <v>0</v>
      </c>
      <c r="G186" s="151">
        <f t="shared" si="46"/>
        <v>91.262135922330089</v>
      </c>
      <c r="H186" s="151">
        <f>SUM(H179:H185)</f>
        <v>486</v>
      </c>
      <c r="I186" s="151">
        <f>SUM(I179:I185)</f>
        <v>486</v>
      </c>
      <c r="J186" s="56">
        <f>SUM(J179:J185)</f>
        <v>108649.83396348439</v>
      </c>
      <c r="K186" s="56">
        <f>SUM(K179:K185)</f>
        <v>75781</v>
      </c>
      <c r="L186" s="56">
        <f>SUM(L179:L185)</f>
        <v>75781</v>
      </c>
      <c r="M186" s="151">
        <f t="shared" si="47"/>
        <v>0</v>
      </c>
      <c r="N186" s="151">
        <f t="shared" si="48"/>
        <v>69.747920669136846</v>
      </c>
      <c r="O186" s="56">
        <f>SUM(O179:O185)</f>
        <v>3384</v>
      </c>
      <c r="P186" s="56">
        <f>SUM(P179:P185)</f>
        <v>3384</v>
      </c>
      <c r="Q186" s="151">
        <f t="shared" si="49"/>
        <v>0</v>
      </c>
      <c r="R186" s="153"/>
      <c r="S186" s="1">
        <v>1</v>
      </c>
    </row>
    <row r="187" spans="1:21" s="4" customFormat="1" ht="10.5" customHeight="1" thickBot="1">
      <c r="A187" s="42"/>
      <c r="B187" s="43"/>
      <c r="C187" s="44"/>
      <c r="D187" s="27"/>
      <c r="E187" s="27"/>
      <c r="F187" s="147"/>
      <c r="G187" s="105"/>
      <c r="H187" s="105"/>
      <c r="I187" s="105"/>
      <c r="J187" s="44"/>
      <c r="K187" s="45"/>
      <c r="L187" s="45"/>
      <c r="M187" s="45"/>
      <c r="N187" s="45"/>
      <c r="O187" s="45"/>
      <c r="P187" s="45"/>
      <c r="Q187" s="45"/>
      <c r="R187" s="46"/>
      <c r="S187" s="1">
        <v>1</v>
      </c>
    </row>
    <row r="188" spans="1:21" s="5" customFormat="1" ht="14.25">
      <c r="A188" s="17" t="s">
        <v>208</v>
      </c>
      <c r="B188" s="18"/>
      <c r="C188" s="19"/>
      <c r="D188" s="28"/>
      <c r="E188" s="28"/>
      <c r="F188" s="104"/>
      <c r="G188" s="104"/>
      <c r="H188" s="104"/>
      <c r="I188" s="104"/>
      <c r="J188" s="19"/>
      <c r="K188" s="28"/>
      <c r="L188" s="28"/>
      <c r="M188" s="28"/>
      <c r="N188" s="28"/>
      <c r="O188" s="28"/>
      <c r="P188" s="28"/>
      <c r="Q188" s="28"/>
      <c r="R188" s="21"/>
      <c r="S188" s="1">
        <v>1</v>
      </c>
    </row>
    <row r="189" spans="1:21" s="6" customFormat="1" ht="14.25">
      <c r="A189" s="92">
        <v>1</v>
      </c>
      <c r="B189" s="23" t="s">
        <v>192</v>
      </c>
      <c r="C189" s="57">
        <v>37</v>
      </c>
      <c r="D189" s="24">
        <v>3</v>
      </c>
      <c r="E189" s="24">
        <f>D189</f>
        <v>3</v>
      </c>
      <c r="F189" s="102">
        <v>0</v>
      </c>
      <c r="G189" s="102">
        <f t="shared" ref="G189:G202" si="50">E189/C189%</f>
        <v>8.1081081081081088</v>
      </c>
      <c r="H189" s="24">
        <v>33</v>
      </c>
      <c r="I189" s="222">
        <v>78</v>
      </c>
      <c r="J189" s="57">
        <v>65409.560439560439</v>
      </c>
      <c r="K189" s="24">
        <v>543</v>
      </c>
      <c r="L189" s="222">
        <f>+K189+569</f>
        <v>1112</v>
      </c>
      <c r="M189" s="102">
        <f>(L189-K189)/K189%</f>
        <v>104.78821362799263</v>
      </c>
      <c r="N189" s="102">
        <v>0</v>
      </c>
      <c r="O189" s="24">
        <f>'1.RSP Districts  (2)'!O187</f>
        <v>29</v>
      </c>
      <c r="P189" s="24">
        <f>'1.RSP Districts  (2)'!P187</f>
        <v>49</v>
      </c>
      <c r="Q189" s="102">
        <f>(P189-O189)/O189%</f>
        <v>68.965517241379317</v>
      </c>
      <c r="R189" s="31" t="s">
        <v>9</v>
      </c>
      <c r="S189" s="1">
        <v>1</v>
      </c>
      <c r="T189" s="225">
        <f>I189-'[7]1.RSP Districts '!I189</f>
        <v>78</v>
      </c>
      <c r="U189" s="225">
        <f>P189-'[8]1.RSP Districts '!$P$43</f>
        <v>49</v>
      </c>
    </row>
    <row r="190" spans="1:21" s="6" customFormat="1" ht="14.25">
      <c r="A190" s="92">
        <v>2</v>
      </c>
      <c r="B190" s="23" t="s">
        <v>182</v>
      </c>
      <c r="C190" s="57">
        <v>28</v>
      </c>
      <c r="D190" s="57"/>
      <c r="E190" s="57"/>
      <c r="F190" s="102">
        <v>0</v>
      </c>
      <c r="G190" s="102">
        <f t="shared" si="50"/>
        <v>0</v>
      </c>
      <c r="H190" s="102">
        <v>0</v>
      </c>
      <c r="I190" s="102"/>
      <c r="J190" s="57">
        <v>55225.252525252523</v>
      </c>
      <c r="K190" s="24"/>
      <c r="L190" s="57"/>
      <c r="M190" s="102" t="e">
        <f>(L190-K190)/K190%</f>
        <v>#DIV/0!</v>
      </c>
      <c r="N190" s="102">
        <v>0</v>
      </c>
      <c r="O190" s="24"/>
      <c r="P190" s="99"/>
      <c r="Q190" s="102">
        <v>0</v>
      </c>
      <c r="R190" s="93">
        <v>0</v>
      </c>
      <c r="S190" s="1">
        <v>1</v>
      </c>
    </row>
    <row r="191" spans="1:21" s="6" customFormat="1" ht="14.25">
      <c r="A191" s="92">
        <v>3</v>
      </c>
      <c r="B191" s="23" t="s">
        <v>157</v>
      </c>
      <c r="C191" s="24">
        <v>23</v>
      </c>
      <c r="D191" s="24">
        <f>'[6]1.RSP Districts '!D189</f>
        <v>3</v>
      </c>
      <c r="E191" s="24">
        <f>D191</f>
        <v>3</v>
      </c>
      <c r="F191" s="102">
        <f>(E191-D191)/D191%</f>
        <v>0</v>
      </c>
      <c r="G191" s="102">
        <f t="shared" si="50"/>
        <v>13.043478260869565</v>
      </c>
      <c r="H191" s="24">
        <f>'[6]1.RSP Districts '!H189</f>
        <v>0</v>
      </c>
      <c r="I191" s="24">
        <f>'[6]1.RSP Districts '!I189</f>
        <v>0</v>
      </c>
      <c r="J191" s="24">
        <v>42293.396226415098</v>
      </c>
      <c r="K191" s="24">
        <v>4668</v>
      </c>
      <c r="L191" s="222">
        <v>4668</v>
      </c>
      <c r="M191" s="102">
        <f>(L191-K191)/K191%</f>
        <v>0</v>
      </c>
      <c r="N191" s="102">
        <f>L191/J191%</f>
        <v>11.037184091365349</v>
      </c>
      <c r="O191" s="24">
        <f>'1.RSP Districts  (2)'!O189</f>
        <v>143</v>
      </c>
      <c r="P191" s="24">
        <f>'1.RSP Districts  (2)'!P189</f>
        <v>143</v>
      </c>
      <c r="Q191" s="102">
        <f>(P191-O191)/O191%</f>
        <v>0</v>
      </c>
      <c r="R191" s="31" t="s">
        <v>9</v>
      </c>
      <c r="S191" s="1">
        <v>1</v>
      </c>
      <c r="T191" s="225">
        <f>I191-'[7]1.RSP Districts '!I191</f>
        <v>0</v>
      </c>
      <c r="U191" s="225">
        <f>P191-'[8]1.RSP Districts '!$P$43</f>
        <v>143</v>
      </c>
    </row>
    <row r="192" spans="1:21" s="6" customFormat="1" ht="14.25">
      <c r="A192" s="92">
        <v>4</v>
      </c>
      <c r="B192" s="23" t="s">
        <v>183</v>
      </c>
      <c r="C192" s="24">
        <v>21</v>
      </c>
      <c r="D192" s="24">
        <v>3</v>
      </c>
      <c r="E192" s="24">
        <f>D192</f>
        <v>3</v>
      </c>
      <c r="F192" s="102">
        <v>0</v>
      </c>
      <c r="G192" s="102">
        <f t="shared" si="50"/>
        <v>14.285714285714286</v>
      </c>
      <c r="H192" s="24">
        <f>'[6]1.RSP Districts '!H190</f>
        <v>0</v>
      </c>
      <c r="I192" s="24">
        <v>78</v>
      </c>
      <c r="J192" s="57">
        <v>37161.444444444445</v>
      </c>
      <c r="K192" s="24">
        <v>650</v>
      </c>
      <c r="L192" s="222">
        <f>+K192+468</f>
        <v>1118</v>
      </c>
      <c r="M192" s="102">
        <f>(L192-K192)/K192%</f>
        <v>72</v>
      </c>
      <c r="N192" s="102">
        <v>0</v>
      </c>
      <c r="O192" s="24">
        <f>'1.RSP Districts  (2)'!O190</f>
        <v>45</v>
      </c>
      <c r="P192" s="24">
        <f>'1.RSP Districts  (2)'!P190</f>
        <v>45</v>
      </c>
      <c r="Q192" s="102">
        <f>(P192-O192)/O192%</f>
        <v>0</v>
      </c>
      <c r="R192" s="31" t="s">
        <v>9</v>
      </c>
      <c r="S192" s="1">
        <v>1</v>
      </c>
      <c r="T192" s="225">
        <f>I192-'[7]1.RSP Districts '!I192</f>
        <v>78</v>
      </c>
      <c r="U192" s="225">
        <f>P192-'[8]1.RSP Districts '!$P$43</f>
        <v>45</v>
      </c>
    </row>
    <row r="193" spans="1:21" s="6" customFormat="1" ht="14.25">
      <c r="A193" s="92">
        <v>5</v>
      </c>
      <c r="B193" s="23" t="s">
        <v>184</v>
      </c>
      <c r="C193" s="24">
        <v>22</v>
      </c>
      <c r="D193" s="57"/>
      <c r="E193" s="57"/>
      <c r="F193" s="102">
        <v>0</v>
      </c>
      <c r="G193" s="102">
        <f t="shared" si="50"/>
        <v>0</v>
      </c>
      <c r="H193" s="102">
        <v>0</v>
      </c>
      <c r="I193" s="102"/>
      <c r="J193" s="57">
        <v>39697.362637362639</v>
      </c>
      <c r="K193" s="24"/>
      <c r="L193" s="57"/>
      <c r="M193" s="102" t="e">
        <f t="shared" ref="M193:M201" si="51">(L193-K193)/K193%</f>
        <v>#DIV/0!</v>
      </c>
      <c r="N193" s="102">
        <v>0</v>
      </c>
      <c r="O193" s="24"/>
      <c r="P193" s="24"/>
      <c r="Q193" s="102">
        <v>0</v>
      </c>
      <c r="R193" s="93">
        <v>0</v>
      </c>
      <c r="S193" s="1">
        <v>1</v>
      </c>
    </row>
    <row r="194" spans="1:21" s="6" customFormat="1" ht="14.25">
      <c r="A194" s="92">
        <v>6</v>
      </c>
      <c r="B194" s="23" t="s">
        <v>185</v>
      </c>
      <c r="C194" s="24">
        <v>15</v>
      </c>
      <c r="D194" s="57"/>
      <c r="E194" s="57"/>
      <c r="F194" s="102">
        <v>0</v>
      </c>
      <c r="G194" s="102">
        <v>0</v>
      </c>
      <c r="H194" s="102">
        <v>0</v>
      </c>
      <c r="I194" s="102"/>
      <c r="J194" s="57">
        <v>25618.295454545452</v>
      </c>
      <c r="K194" s="24"/>
      <c r="L194" s="57"/>
      <c r="M194" s="102" t="e">
        <f t="shared" si="51"/>
        <v>#DIV/0!</v>
      </c>
      <c r="N194" s="102">
        <v>0</v>
      </c>
      <c r="O194" s="24"/>
      <c r="P194" s="24"/>
      <c r="Q194" s="102">
        <v>0</v>
      </c>
      <c r="R194" s="93">
        <v>0</v>
      </c>
      <c r="S194" s="1">
        <v>1</v>
      </c>
    </row>
    <row r="195" spans="1:21" s="6" customFormat="1" ht="14.25">
      <c r="A195" s="92">
        <v>7</v>
      </c>
      <c r="B195" s="23" t="s">
        <v>186</v>
      </c>
      <c r="C195" s="24">
        <v>29</v>
      </c>
      <c r="D195" s="24">
        <v>3</v>
      </c>
      <c r="E195" s="24">
        <f>D195</f>
        <v>3</v>
      </c>
      <c r="F195" s="102">
        <v>0</v>
      </c>
      <c r="G195" s="102">
        <v>0</v>
      </c>
      <c r="H195" s="24">
        <f>'[6]1.RSP Districts '!H193</f>
        <v>0</v>
      </c>
      <c r="I195" s="24">
        <v>78</v>
      </c>
      <c r="J195" s="57">
        <v>50569.529411764706</v>
      </c>
      <c r="K195" s="24">
        <v>329</v>
      </c>
      <c r="L195" s="222">
        <f>+K195+395</f>
        <v>724</v>
      </c>
      <c r="M195" s="102">
        <f t="shared" si="51"/>
        <v>120.06079027355624</v>
      </c>
      <c r="N195" s="102">
        <v>0</v>
      </c>
      <c r="O195" s="24">
        <f>'1.RSP Districts  (2)'!O193</f>
        <v>34</v>
      </c>
      <c r="P195" s="24">
        <f>'1.RSP Districts  (2)'!P193</f>
        <v>49</v>
      </c>
      <c r="Q195" s="102">
        <f>(P195-O195)/O195%</f>
        <v>44.117647058823529</v>
      </c>
      <c r="R195" s="31" t="s">
        <v>9</v>
      </c>
      <c r="S195" s="1">
        <v>1</v>
      </c>
      <c r="T195" s="225">
        <f>I195-'[7]1.RSP Districts '!I195</f>
        <v>78</v>
      </c>
      <c r="U195" s="225">
        <f>P195-'[8]1.RSP Districts '!$P$43</f>
        <v>49</v>
      </c>
    </row>
    <row r="196" spans="1:21" s="6" customFormat="1" ht="14.25">
      <c r="A196" s="92">
        <v>8</v>
      </c>
      <c r="B196" s="23" t="s">
        <v>187</v>
      </c>
      <c r="C196" s="24">
        <v>1</v>
      </c>
      <c r="D196" s="57"/>
      <c r="E196" s="57"/>
      <c r="F196" s="102">
        <v>0</v>
      </c>
      <c r="G196" s="102">
        <v>0</v>
      </c>
      <c r="H196" s="102">
        <v>0</v>
      </c>
      <c r="I196" s="102"/>
      <c r="J196" s="57">
        <v>931.6</v>
      </c>
      <c r="K196" s="24"/>
      <c r="L196" s="57"/>
      <c r="M196" s="102" t="e">
        <f t="shared" si="51"/>
        <v>#DIV/0!</v>
      </c>
      <c r="N196" s="102">
        <v>0</v>
      </c>
      <c r="O196" s="24"/>
      <c r="P196" s="24"/>
      <c r="Q196" s="102">
        <v>0</v>
      </c>
      <c r="R196" s="93">
        <v>0</v>
      </c>
      <c r="S196" s="1">
        <v>1</v>
      </c>
    </row>
    <row r="197" spans="1:21" s="6" customFormat="1" ht="14.25">
      <c r="A197" s="92">
        <v>9</v>
      </c>
      <c r="B197" s="23" t="s">
        <v>188</v>
      </c>
      <c r="C197" s="24">
        <v>1</v>
      </c>
      <c r="D197" s="57"/>
      <c r="E197" s="57"/>
      <c r="F197" s="102">
        <v>0</v>
      </c>
      <c r="G197" s="102">
        <f t="shared" si="50"/>
        <v>0</v>
      </c>
      <c r="H197" s="102">
        <v>0</v>
      </c>
      <c r="I197" s="102"/>
      <c r="J197" s="57">
        <v>2040.9375</v>
      </c>
      <c r="K197" s="24"/>
      <c r="L197" s="57"/>
      <c r="M197" s="102" t="e">
        <f t="shared" si="51"/>
        <v>#DIV/0!</v>
      </c>
      <c r="N197" s="102">
        <v>0</v>
      </c>
      <c r="O197" s="24"/>
      <c r="P197" s="24"/>
      <c r="Q197" s="102">
        <v>0</v>
      </c>
      <c r="R197" s="93">
        <v>0</v>
      </c>
      <c r="S197" s="1">
        <v>1</v>
      </c>
    </row>
    <row r="198" spans="1:21" s="6" customFormat="1" ht="14.25">
      <c r="A198" s="92">
        <v>10</v>
      </c>
      <c r="B198" s="23" t="s">
        <v>189</v>
      </c>
      <c r="C198" s="24">
        <v>3</v>
      </c>
      <c r="D198" s="57"/>
      <c r="E198" s="57"/>
      <c r="F198" s="102">
        <v>0</v>
      </c>
      <c r="G198" s="102">
        <v>0</v>
      </c>
      <c r="H198" s="102">
        <v>0</v>
      </c>
      <c r="I198" s="102"/>
      <c r="J198" s="57">
        <v>5491.5492957746483</v>
      </c>
      <c r="K198" s="24"/>
      <c r="L198" s="57"/>
      <c r="M198" s="102" t="e">
        <f t="shared" si="51"/>
        <v>#DIV/0!</v>
      </c>
      <c r="N198" s="102">
        <v>0</v>
      </c>
      <c r="O198" s="24"/>
      <c r="P198" s="24"/>
      <c r="Q198" s="102">
        <v>0</v>
      </c>
      <c r="R198" s="93">
        <v>0</v>
      </c>
      <c r="S198" s="1">
        <v>1</v>
      </c>
    </row>
    <row r="199" spans="1:21" s="6" customFormat="1" ht="14.25">
      <c r="A199" s="92">
        <v>11</v>
      </c>
      <c r="B199" s="23" t="s">
        <v>190</v>
      </c>
      <c r="C199" s="24">
        <v>5</v>
      </c>
      <c r="D199" s="57"/>
      <c r="E199" s="57"/>
      <c r="F199" s="102">
        <v>0</v>
      </c>
      <c r="G199" s="102">
        <f t="shared" si="50"/>
        <v>0</v>
      </c>
      <c r="H199" s="102">
        <v>0</v>
      </c>
      <c r="I199" s="102"/>
      <c r="J199" s="57">
        <v>9511.3978494623643</v>
      </c>
      <c r="K199" s="24"/>
      <c r="L199" s="57"/>
      <c r="M199" s="102" t="e">
        <f t="shared" si="51"/>
        <v>#DIV/0!</v>
      </c>
      <c r="N199" s="102">
        <v>0</v>
      </c>
      <c r="O199" s="24"/>
      <c r="P199" s="24"/>
      <c r="Q199" s="102">
        <v>0</v>
      </c>
      <c r="R199" s="93">
        <v>0</v>
      </c>
      <c r="S199" s="1">
        <v>1</v>
      </c>
    </row>
    <row r="200" spans="1:21" s="6" customFormat="1" ht="14.25">
      <c r="A200" s="92">
        <v>12</v>
      </c>
      <c r="B200" s="47" t="s">
        <v>158</v>
      </c>
      <c r="C200" s="24">
        <v>3</v>
      </c>
      <c r="D200" s="24">
        <f>'[6]1.RSP Districts '!D198</f>
        <v>3</v>
      </c>
      <c r="E200" s="24">
        <f>D200</f>
        <v>3</v>
      </c>
      <c r="F200" s="102">
        <f>(E200-D200)/D200%</f>
        <v>0</v>
      </c>
      <c r="G200" s="102">
        <f t="shared" si="50"/>
        <v>100</v>
      </c>
      <c r="H200" s="24">
        <f>'[6]1.RSP Districts '!H198</f>
        <v>0</v>
      </c>
      <c r="I200" s="24">
        <f>'[6]1.RSP Districts '!I198</f>
        <v>0</v>
      </c>
      <c r="J200" s="24">
        <v>6118.295454545454</v>
      </c>
      <c r="K200" s="24">
        <v>1738</v>
      </c>
      <c r="L200" s="24">
        <v>1738</v>
      </c>
      <c r="M200" s="102">
        <f t="shared" si="51"/>
        <v>0</v>
      </c>
      <c r="N200" s="102">
        <f>L200/J200%</f>
        <v>28.406604632157652</v>
      </c>
      <c r="O200" s="24">
        <f>'1.RSP Districts  (2)'!O198</f>
        <v>116</v>
      </c>
      <c r="P200" s="24">
        <f>'1.RSP Districts  (2)'!P198</f>
        <v>116</v>
      </c>
      <c r="Q200" s="102">
        <f>(P200-O200)/O200%</f>
        <v>0</v>
      </c>
      <c r="R200" s="31" t="s">
        <v>9</v>
      </c>
      <c r="S200" s="1">
        <v>1</v>
      </c>
      <c r="T200" s="225">
        <f>I200-'[7]1.RSP Districts '!I200</f>
        <v>0</v>
      </c>
      <c r="U200" s="225">
        <f>P200-'[8]1.RSP Districts '!$P$43</f>
        <v>116</v>
      </c>
    </row>
    <row r="201" spans="1:21" s="6" customFormat="1" thickBot="1">
      <c r="A201" s="146">
        <v>13</v>
      </c>
      <c r="B201" s="37" t="s">
        <v>191</v>
      </c>
      <c r="C201" s="38">
        <v>2</v>
      </c>
      <c r="D201" s="145"/>
      <c r="E201" s="145"/>
      <c r="F201" s="134">
        <v>0</v>
      </c>
      <c r="G201" s="134">
        <f t="shared" si="50"/>
        <v>0</v>
      </c>
      <c r="H201" s="134">
        <v>0</v>
      </c>
      <c r="I201" s="134"/>
      <c r="J201" s="145">
        <v>3581.0526315789475</v>
      </c>
      <c r="K201" s="38"/>
      <c r="L201" s="145"/>
      <c r="M201" s="102" t="e">
        <f t="shared" si="51"/>
        <v>#DIV/0!</v>
      </c>
      <c r="N201" s="134">
        <v>0</v>
      </c>
      <c r="O201" s="38"/>
      <c r="P201" s="144"/>
      <c r="Q201" s="134">
        <v>0</v>
      </c>
      <c r="R201" s="143">
        <v>0</v>
      </c>
      <c r="S201" s="1">
        <v>1</v>
      </c>
    </row>
    <row r="202" spans="1:21" s="4" customFormat="1" ht="15.75" thickBot="1">
      <c r="A202" s="150">
        <f>COUNTIF(R189:R201,"*")</f>
        <v>5</v>
      </c>
      <c r="B202" s="149" t="s">
        <v>33</v>
      </c>
      <c r="C202" s="56">
        <f>SUM(C189:C201)</f>
        <v>190</v>
      </c>
      <c r="D202" s="56">
        <f>SUM(D189:D201)</f>
        <v>15</v>
      </c>
      <c r="E202" s="56">
        <f>SUM(E189:E201)</f>
        <v>15</v>
      </c>
      <c r="F202" s="151">
        <f>(E202-D202)/D202%</f>
        <v>0</v>
      </c>
      <c r="G202" s="151">
        <f t="shared" si="50"/>
        <v>7.8947368421052637</v>
      </c>
      <c r="H202" s="151">
        <f>SUM(H189:H201)</f>
        <v>33</v>
      </c>
      <c r="I202" s="151">
        <f>SUM(I189:I201)</f>
        <v>234</v>
      </c>
      <c r="J202" s="56">
        <f>SUM(J189:J201)</f>
        <v>343649.6738707067</v>
      </c>
      <c r="K202" s="56">
        <f>SUM(K189:K201)</f>
        <v>7928</v>
      </c>
      <c r="L202" s="56">
        <f>SUM(L189:L201)</f>
        <v>9360</v>
      </c>
      <c r="M202" s="151">
        <f>(L202-K202)/K202%</f>
        <v>18.062563067608476</v>
      </c>
      <c r="N202" s="151">
        <f>L202/J202%</f>
        <v>2.7237040252572937</v>
      </c>
      <c r="O202" s="56">
        <f>SUM(O189:O201)</f>
        <v>367</v>
      </c>
      <c r="P202" s="56">
        <f>SUM(P189:P201)</f>
        <v>402</v>
      </c>
      <c r="Q202" s="151">
        <f>(P202-O202)/O202%</f>
        <v>9.5367847411444142</v>
      </c>
      <c r="R202" s="153"/>
      <c r="S202" s="1">
        <v>1</v>
      </c>
    </row>
    <row r="203" spans="1:21" s="4" customFormat="1" ht="6.75" customHeight="1" thickBot="1">
      <c r="A203" s="34"/>
      <c r="B203" s="48"/>
      <c r="C203" s="34"/>
      <c r="D203" s="27"/>
      <c r="E203" s="27"/>
      <c r="F203" s="103"/>
      <c r="G203" s="103"/>
      <c r="H203" s="103"/>
      <c r="I203" s="103"/>
      <c r="J203" s="34"/>
      <c r="K203" s="27"/>
      <c r="L203" s="27"/>
      <c r="M203" s="27"/>
      <c r="N203" s="27"/>
      <c r="O203" s="27"/>
      <c r="P203" s="27"/>
      <c r="Q203" s="27"/>
      <c r="R203" s="49"/>
      <c r="S203" s="1">
        <v>1</v>
      </c>
    </row>
    <row r="204" spans="1:21" s="4" customFormat="1" ht="13.5" customHeight="1" thickBot="1">
      <c r="A204" s="50">
        <f>(A40+A77+A104+A157+A176+A186+A7+A202)</f>
        <v>120</v>
      </c>
      <c r="B204" s="51" t="s">
        <v>159</v>
      </c>
      <c r="C204" s="56">
        <f>C40+C77+C104+C157+C176+C186+C7+C202</f>
        <v>5568</v>
      </c>
      <c r="D204" s="56">
        <f>D40+D77+D104+D157+D176+D186+D7+D202</f>
        <v>3589</v>
      </c>
      <c r="E204" s="56">
        <f>E40+E77+E104+E157+E176+E186+E7+E202</f>
        <v>3616</v>
      </c>
      <c r="F204" s="151">
        <f>(E204-D204)/D204%</f>
        <v>0.75229869044302033</v>
      </c>
      <c r="G204" s="151">
        <f>E204/C204%</f>
        <v>64.94252873563218</v>
      </c>
      <c r="H204" s="56">
        <f>H40+H77+H104+H157+H176+H186+H7+H202</f>
        <v>28976</v>
      </c>
      <c r="I204" s="56">
        <f>I40+I77+I104+I157+I176+I186+I7+I202</f>
        <v>29249</v>
      </c>
      <c r="J204" s="56">
        <f>J40+J77+J104+J157+J176+J186+J7+J202</f>
        <v>12479974.528189642</v>
      </c>
      <c r="K204" s="56">
        <f>K40+K77+K104+K157+K176+K186+K7+K202</f>
        <v>5516750</v>
      </c>
      <c r="L204" s="56">
        <f>L40+L77+L104+L157+L176+L186+L7+L202</f>
        <v>5684566</v>
      </c>
      <c r="M204" s="151">
        <f>(L204-K204)/K204%</f>
        <v>3.0419359224180904</v>
      </c>
      <c r="N204" s="151">
        <f>L204/J204%</f>
        <v>45.549500018287368</v>
      </c>
      <c r="O204" s="56">
        <f>O40+O77+O104+O157+O176+O186+O7+O202</f>
        <v>333354</v>
      </c>
      <c r="P204" s="56">
        <f>P40+P77+P104+P157+P176+P186+P7+P202</f>
        <v>341164</v>
      </c>
      <c r="Q204" s="151">
        <f>(P204-O204)/O204%</f>
        <v>2.3428547430059337</v>
      </c>
      <c r="R204" s="132"/>
      <c r="S204" s="1">
        <v>1</v>
      </c>
    </row>
    <row r="205" spans="1:21" ht="6" customHeight="1">
      <c r="A205" s="15"/>
      <c r="B205" s="13"/>
      <c r="C205" s="58"/>
      <c r="D205" s="27"/>
      <c r="E205" s="27"/>
      <c r="F205" s="103"/>
      <c r="G205" s="103"/>
      <c r="H205" s="103"/>
      <c r="I205" s="103"/>
      <c r="J205" s="58"/>
      <c r="K205" s="58"/>
      <c r="L205" s="58"/>
      <c r="M205" s="58"/>
      <c r="N205" s="58"/>
      <c r="O205" s="58"/>
      <c r="P205" s="58"/>
      <c r="Q205" s="147"/>
      <c r="R205" s="14"/>
      <c r="S205" s="1">
        <v>1</v>
      </c>
    </row>
    <row r="206" spans="1:21" ht="16.5" customHeight="1" thickBot="1">
      <c r="A206" s="82" t="s">
        <v>160</v>
      </c>
      <c r="B206" s="13"/>
      <c r="C206" s="58"/>
      <c r="D206" s="27"/>
      <c r="E206" s="27"/>
      <c r="F206" s="103"/>
      <c r="G206" s="103"/>
      <c r="H206" s="103"/>
      <c r="I206" s="103"/>
      <c r="J206" s="58"/>
      <c r="K206" s="58"/>
      <c r="L206" s="58"/>
      <c r="M206" s="58"/>
      <c r="N206" s="58"/>
      <c r="O206" s="58"/>
      <c r="P206" s="58"/>
      <c r="Q206" s="58"/>
      <c r="R206" s="14"/>
      <c r="S206" s="1">
        <v>1</v>
      </c>
    </row>
    <row r="207" spans="1:21" ht="14.25">
      <c r="A207" s="94" t="s">
        <v>200</v>
      </c>
      <c r="B207" s="95" t="s">
        <v>202</v>
      </c>
      <c r="C207" s="52"/>
      <c r="D207" s="100"/>
      <c r="E207" s="100"/>
      <c r="F207" s="107"/>
      <c r="G207" s="107"/>
      <c r="H207" s="136"/>
      <c r="I207" s="136"/>
      <c r="J207" s="53"/>
      <c r="K207" s="54"/>
      <c r="L207" s="54"/>
      <c r="M207" s="54"/>
      <c r="N207" s="54"/>
      <c r="O207" s="54"/>
      <c r="P207" s="54"/>
      <c r="Q207" s="54"/>
      <c r="R207" s="55"/>
      <c r="S207" s="1">
        <v>1</v>
      </c>
    </row>
    <row r="208" spans="1:21" ht="14.25">
      <c r="A208" s="22">
        <f>COUNTIF($R$6:$R$202,"AJKRSP")</f>
        <v>8</v>
      </c>
      <c r="B208" s="23" t="s">
        <v>285</v>
      </c>
      <c r="C208" s="29">
        <f>SUMIF($R$6:$R$201,"AJKRSP",$C$6:$C$201)</f>
        <v>176</v>
      </c>
      <c r="D208" s="29">
        <f>SUMIF($R$6:$R$201,"AJKRSP",$D$6:$D$201)</f>
        <v>136</v>
      </c>
      <c r="E208" s="29">
        <f>SUMIF($R$6:$R$201,"AJKRSP",$E$6:$E$201)</f>
        <v>136</v>
      </c>
      <c r="F208" s="102">
        <f>(E208-D208)/D208%</f>
        <v>0</v>
      </c>
      <c r="G208" s="102">
        <f t="shared" ref="G208:G218" si="52">E208/C208%</f>
        <v>77.272727272727266</v>
      </c>
      <c r="H208" s="29">
        <f>SUMIF($R$6:$R$201,"AJKRSP",$H$6:$H$201)</f>
        <v>622</v>
      </c>
      <c r="I208" s="29">
        <f>SUMIF($R$6:$R$201,"AJKRSP",$I$6:$I$201)</f>
        <v>622</v>
      </c>
      <c r="J208" s="29">
        <f>SUMIF($R$6:$R$201,"AJKRSP",$J$6:$J$201)</f>
        <v>353469.33658932324</v>
      </c>
      <c r="K208" s="29">
        <f>SUMIF($R$6:$R$201,"AJKRSP",$K$6:$K$201)</f>
        <v>102320</v>
      </c>
      <c r="L208" s="29">
        <f>SUMIF($R$6:$R$201,"AJKRSP",$L$6:$L$201)</f>
        <v>102320</v>
      </c>
      <c r="M208" s="102">
        <f t="shared" ref="M208:M218" si="53">(L208-K208)/K208%</f>
        <v>0</v>
      </c>
      <c r="N208" s="102">
        <f t="shared" ref="N208:N218" si="54">L208/J208%</f>
        <v>28.947348301072019</v>
      </c>
      <c r="O208" s="29">
        <f>SUMIF($R$6:$R$201,"AJKRSP",$O$6:$O$201)</f>
        <v>4750</v>
      </c>
      <c r="P208" s="29">
        <f>SUMIF($R$6:$R$201,"AJKRSP",$P$6:$P$201)</f>
        <v>4750</v>
      </c>
      <c r="Q208" s="102">
        <f t="shared" ref="Q208:Q218" si="55">(P208-O208)/O208%</f>
        <v>0</v>
      </c>
      <c r="R208" s="31" t="s">
        <v>1</v>
      </c>
      <c r="S208" s="1">
        <v>1</v>
      </c>
    </row>
    <row r="209" spans="1:23" s="6" customFormat="1" ht="14.25">
      <c r="A209" s="22">
        <f>COUNTIF($R$6:$R$202,"AKRSP")</f>
        <v>7</v>
      </c>
      <c r="B209" s="32" t="s">
        <v>211</v>
      </c>
      <c r="C209" s="29">
        <f>SUMIF($R$6:$R$201,"AKRSP",$C$6:$C$201)</f>
        <v>118</v>
      </c>
      <c r="D209" s="29">
        <f>SUMIF($R$6:$R$201,"AKRSP",$D$6:$D$201)</f>
        <v>118</v>
      </c>
      <c r="E209" s="29">
        <f>SUMIF($R$6:$R$201,"AKRSP",$E$6:$E$201)</f>
        <v>118</v>
      </c>
      <c r="F209" s="102">
        <f t="shared" ref="F209:F218" si="56">(E209-D209)/D209%</f>
        <v>0</v>
      </c>
      <c r="G209" s="102">
        <f t="shared" si="52"/>
        <v>100</v>
      </c>
      <c r="H209" s="29">
        <f>SUMIF($R$6:$R$201,"AKRSP",$H$6:$H$201)</f>
        <v>864</v>
      </c>
      <c r="I209" s="29">
        <f>SUMIF($R$6:$R$201,"AKRSP",$I$6:$I$201)</f>
        <v>864</v>
      </c>
      <c r="J209" s="29">
        <f>SUMIF($R$6:$R$201,"AKRSP",$J$6:$J$201)</f>
        <v>145528.83396348439</v>
      </c>
      <c r="K209" s="29">
        <f>SUMIF($R$6:$R$201,"AKRSP",$K$6:$K$201)</f>
        <v>110695</v>
      </c>
      <c r="L209" s="29">
        <f>SUMIF($R$6:$R$201,"AKRSP",$L$6:$L$201)</f>
        <v>110695</v>
      </c>
      <c r="M209" s="102">
        <f t="shared" si="53"/>
        <v>0</v>
      </c>
      <c r="N209" s="102">
        <f t="shared" si="54"/>
        <v>76.063964085478219</v>
      </c>
      <c r="O209" s="29">
        <f>SUMIF($R$6:$R$201,"AKRSP",$O$6:$O$201)</f>
        <v>5064</v>
      </c>
      <c r="P209" s="29">
        <f>SUMIF($R$6:$R$201,"AKRSP",$P$6:$P$201)</f>
        <v>5064</v>
      </c>
      <c r="Q209" s="102">
        <f t="shared" si="55"/>
        <v>0</v>
      </c>
      <c r="R209" s="31" t="s">
        <v>2</v>
      </c>
      <c r="S209" s="1">
        <v>1</v>
      </c>
    </row>
    <row r="210" spans="1:23" s="6" customFormat="1" ht="14.25">
      <c r="A210" s="22">
        <f>COUNTIF($R$6:$R$202,"BRSP")</f>
        <v>14</v>
      </c>
      <c r="B210" s="32" t="s">
        <v>212</v>
      </c>
      <c r="C210" s="29">
        <f>SUMIF($R$6:$R$201,"BRSP",$C$6:$C$201)</f>
        <v>313</v>
      </c>
      <c r="D210" s="29">
        <f>SUMIF($R$6:$R$201,"BRSP",$D$6:$D$201)</f>
        <v>204</v>
      </c>
      <c r="E210" s="29">
        <f>SUMIF($R$6:$R$201,"BRSP",$E$6:$E$201)</f>
        <v>204</v>
      </c>
      <c r="F210" s="102">
        <f t="shared" si="56"/>
        <v>0</v>
      </c>
      <c r="G210" s="102">
        <f t="shared" si="52"/>
        <v>65.175718849840251</v>
      </c>
      <c r="H210" s="29">
        <f>SUMIF($R$6:$R$201,"BRSP",$H$6:$H$201)</f>
        <v>1338</v>
      </c>
      <c r="I210" s="29">
        <f>SUMIF($R$6:$R$201,"BRSP",$I$6:$I$201)</f>
        <v>1338</v>
      </c>
      <c r="J210" s="29">
        <f>SUMIF($R$6:$R$201,"BRSP",$J$6:$J$201)</f>
        <v>423186.125</v>
      </c>
      <c r="K210" s="29">
        <f>SUMIF($R$6:$R$201,"BRSP",$K$6:$K$201)</f>
        <v>188824</v>
      </c>
      <c r="L210" s="29">
        <f>SUMIF($R$6:$R$201,"BRSP",$L$6:$L$201)</f>
        <v>192619</v>
      </c>
      <c r="M210" s="102">
        <f t="shared" si="53"/>
        <v>2.0098080752446723</v>
      </c>
      <c r="N210" s="102">
        <f t="shared" si="54"/>
        <v>45.516378874661832</v>
      </c>
      <c r="O210" s="29">
        <f>SUMIF($R$6:$R$201,"BRSP",$O$6:$O$201)</f>
        <v>11481</v>
      </c>
      <c r="P210" s="29">
        <f>SUMIF($R$6:$R$201,"BRSP",$P$6:$P$201)</f>
        <v>11730</v>
      </c>
      <c r="Q210" s="102">
        <f t="shared" si="55"/>
        <v>2.1688006271230726</v>
      </c>
      <c r="R210" s="31" t="s">
        <v>3</v>
      </c>
      <c r="S210" s="1">
        <v>1</v>
      </c>
      <c r="T210" s="86"/>
    </row>
    <row r="211" spans="1:23" s="6" customFormat="1" ht="14.25">
      <c r="A211" s="22">
        <f>COUNTIF($R$6:$R$202,"GBTI")</f>
        <v>3</v>
      </c>
      <c r="B211" s="32" t="s">
        <v>287</v>
      </c>
      <c r="C211" s="29">
        <f>SUMIF($R$6:$R$201,"GBTI",$C$6:$C$201)</f>
        <v>165</v>
      </c>
      <c r="D211" s="29">
        <f>SUMIF($R$6:$R$201,"GBTI",$D$6:$D$201)</f>
        <v>22</v>
      </c>
      <c r="E211" s="29">
        <f>SUMIF($R$6:$R$201,"GBTI",$E$6:$E$201)</f>
        <v>22</v>
      </c>
      <c r="F211" s="102">
        <f t="shared" si="56"/>
        <v>0</v>
      </c>
      <c r="G211" s="102">
        <f t="shared" si="52"/>
        <v>13.333333333333334</v>
      </c>
      <c r="H211" s="29">
        <f>SUMIF($R$6:$R$201,"GBTI",$H$6:$H$201)</f>
        <v>114</v>
      </c>
      <c r="I211" s="29">
        <f>SUMIF($R$6:$R$201,"GBTI",$I$6:$I$201)</f>
        <v>114</v>
      </c>
      <c r="J211" s="29">
        <f>SUMIF($R$6:$R$201,"GBTI",$J$6:$J$201)</f>
        <v>371315</v>
      </c>
      <c r="K211" s="29">
        <f>SUMIF($R$6:$R$201,"GBTI",$K$6:$K$201)</f>
        <v>34324</v>
      </c>
      <c r="L211" s="29">
        <f>SUMIF($R$6:$R$201,"GBTI",$L$6:$L$201)</f>
        <v>34714</v>
      </c>
      <c r="M211" s="102">
        <f t="shared" si="53"/>
        <v>1.1362312084838597</v>
      </c>
      <c r="N211" s="102">
        <f t="shared" si="54"/>
        <v>9.3489355399054705</v>
      </c>
      <c r="O211" s="29">
        <f>SUMIF($R$6:$R$201,"GBTI",$O$6:$O$201)</f>
        <v>3103</v>
      </c>
      <c r="P211" s="29">
        <f>SUMIF($R$6:$R$201,"GBTI",$P$6:$P$201)</f>
        <v>3129</v>
      </c>
      <c r="Q211" s="102">
        <f t="shared" si="55"/>
        <v>0.83789880760554303</v>
      </c>
      <c r="R211" s="31" t="s">
        <v>4</v>
      </c>
      <c r="S211" s="1">
        <v>1</v>
      </c>
    </row>
    <row r="212" spans="1:23" s="6" customFormat="1" ht="14.25">
      <c r="A212" s="22">
        <f>COUNTIF($R$6:$R$202,"NRSP")</f>
        <v>55</v>
      </c>
      <c r="B212" s="32" t="s">
        <v>213</v>
      </c>
      <c r="C212" s="29">
        <f>SUMIF($R$6:$R$201,"NRSP",$C$6:$C$201)</f>
        <v>2671</v>
      </c>
      <c r="D212" s="29">
        <f>SUMIF($R$6:$R$201,"NRSP",$D$6:$D$201)</f>
        <v>2031</v>
      </c>
      <c r="E212" s="29">
        <f>SUMIF($R$6:$R$201,"NRSP",$E$6:$E$201)</f>
        <v>2038</v>
      </c>
      <c r="F212" s="102">
        <f t="shared" si="56"/>
        <v>0.34465780403742002</v>
      </c>
      <c r="G212" s="102">
        <f t="shared" si="52"/>
        <v>76.301010857356786</v>
      </c>
      <c r="H212" s="29">
        <f>SUMIF($R$6:$R$201,"NRSP",$H$6:$H$201)</f>
        <v>14334</v>
      </c>
      <c r="I212" s="29">
        <f>SUMIF($R$6:$R$201,"NRSP",$I$6:$I$201)</f>
        <v>14349</v>
      </c>
      <c r="J212" s="29">
        <f>SUMIF($R$6:$R$201,"NRSP",$J$6:$J$201)</f>
        <v>6626342.1141952788</v>
      </c>
      <c r="K212" s="29">
        <f>SUMIF($R$6:$R$201,"NRSP",$K$6:$K$201)</f>
        <v>2332910</v>
      </c>
      <c r="L212" s="29">
        <f>SUMIF($R$6:$R$201,"NRSP",$L$6:$L$201)</f>
        <v>2394947</v>
      </c>
      <c r="M212" s="102">
        <f t="shared" si="53"/>
        <v>2.6592110282865606</v>
      </c>
      <c r="N212" s="102">
        <f t="shared" si="54"/>
        <v>36.142821465094983</v>
      </c>
      <c r="O212" s="29">
        <f>SUMIF($R$6:$R$201,"NRSP",$O$6:$O$201)</f>
        <v>154175</v>
      </c>
      <c r="P212" s="29">
        <f>SUMIF($R$6:$R$201,"NRSP",$P$6:$P$201)</f>
        <v>158284</v>
      </c>
      <c r="Q212" s="102">
        <f t="shared" si="55"/>
        <v>2.6651532349602722</v>
      </c>
      <c r="R212" s="31" t="s">
        <v>5</v>
      </c>
      <c r="S212" s="1">
        <v>1</v>
      </c>
      <c r="W212" s="225">
        <f>I212-'[3]1.RSP Districts '!I212</f>
        <v>14349</v>
      </c>
    </row>
    <row r="213" spans="1:23" s="6" customFormat="1" ht="14.25">
      <c r="A213" s="22">
        <f>COUNTIF($R$6:$R$202,"PRSP")-4</f>
        <v>21</v>
      </c>
      <c r="B213" s="32" t="s">
        <v>228</v>
      </c>
      <c r="C213" s="29">
        <f>SUMIF($R$6:$R$201,"PRSP",C6:C201)</f>
        <v>1865</v>
      </c>
      <c r="D213" s="29">
        <f>SUMIF($R$6:$R$201,"PRSP",D6:D201)</f>
        <v>702</v>
      </c>
      <c r="E213" s="29">
        <f>SUMIF($R$6:$R$201,"PRSP",E6:E201)</f>
        <v>714</v>
      </c>
      <c r="F213" s="102">
        <f t="shared" si="56"/>
        <v>1.7094017094017095</v>
      </c>
      <c r="G213" s="102">
        <f t="shared" si="52"/>
        <v>38.284182305630033</v>
      </c>
      <c r="H213" s="29">
        <f>SUMIF($R$6:$R$201,"PRSP",H6:H201)</f>
        <v>5764</v>
      </c>
      <c r="I213" s="29">
        <f>SUMIF($R$6:$R$201,"PRSP",I6:I201)</f>
        <v>5764</v>
      </c>
      <c r="J213" s="29">
        <f>SUMIF($R$6:$R$201,"pRSP",$J$6:$J$201)</f>
        <v>4326866.1652344316</v>
      </c>
      <c r="K213" s="29">
        <f>SUMIF($R$6:$R$201,"pRSP",$K$6:$K$201)</f>
        <v>1201260</v>
      </c>
      <c r="L213" s="29">
        <f>SUMIF($R$6:$R$201,"PRSP",$L$6:$L$201)</f>
        <v>1229002</v>
      </c>
      <c r="M213" s="102">
        <f t="shared" si="53"/>
        <v>2.3094084544561544</v>
      </c>
      <c r="N213" s="102">
        <f t="shared" si="54"/>
        <v>28.40397537309574</v>
      </c>
      <c r="O213" s="29">
        <f>SUMIF($R$6:$R$201,"pRSP",$O$6:$O$201)</f>
        <v>71696</v>
      </c>
      <c r="P213" s="29">
        <f>SUMIF($R$6:$R$201,"PRSP",$P$6:$P$201)</f>
        <v>73271</v>
      </c>
      <c r="Q213" s="102">
        <f t="shared" si="55"/>
        <v>2.1967752733764785</v>
      </c>
      <c r="R213" s="31" t="s">
        <v>6</v>
      </c>
      <c r="S213" s="1">
        <v>1</v>
      </c>
      <c r="T213" s="157"/>
    </row>
    <row r="214" spans="1:23" s="6" customFormat="1" ht="14.25">
      <c r="A214" s="22">
        <f>COUNTIF($R$6:$R$202,"SGA")</f>
        <v>1</v>
      </c>
      <c r="B214" s="32" t="s">
        <v>214</v>
      </c>
      <c r="C214" s="29">
        <f>SUMIF($R$6:$R$201,"SGA",$C$6:$C$201)</f>
        <v>55</v>
      </c>
      <c r="D214" s="29">
        <f>SUMIF($R$6:$R$201,"SGA",$D$6:$D$201)</f>
        <v>13</v>
      </c>
      <c r="E214" s="29">
        <f>SUMIF($R$6:$R$201,"SGA",$E$6:$E$201)</f>
        <v>13</v>
      </c>
      <c r="F214" s="102">
        <f t="shared" si="56"/>
        <v>0</v>
      </c>
      <c r="G214" s="102">
        <f t="shared" si="52"/>
        <v>23.636363636363633</v>
      </c>
      <c r="H214" s="29">
        <f>SUMIF($R$6:$R$201,"SGA",$H$6:$H$201)</f>
        <v>260</v>
      </c>
      <c r="I214" s="29">
        <f>SUMIF($R$6:$R$201,"SGA",$I$6:$I$201)</f>
        <v>260</v>
      </c>
      <c r="J214" s="29">
        <f>SUMIF($R$6:$R$201,"SGA",$J$6:$J$201)</f>
        <v>209191</v>
      </c>
      <c r="K214" s="29">
        <f>SUMIF($R$6:$R$201,"SGA",$K$6:$K$201)</f>
        <v>16500</v>
      </c>
      <c r="L214" s="29">
        <f>SUMIF($R$6:$R$201,"SGA",$L$6:$L$201)</f>
        <v>16500</v>
      </c>
      <c r="M214" s="102">
        <f t="shared" si="53"/>
        <v>0</v>
      </c>
      <c r="N214" s="102">
        <f t="shared" si="54"/>
        <v>7.8875286221682579</v>
      </c>
      <c r="O214" s="29">
        <f>SUMIF($R$6:$R$201,"SGA",$O$6:$O$201)</f>
        <v>860</v>
      </c>
      <c r="P214" s="29">
        <f>SUMIF($R$6:$R$201,"SGA",$P$6:$P$201)</f>
        <v>860</v>
      </c>
      <c r="Q214" s="102">
        <f t="shared" si="55"/>
        <v>0</v>
      </c>
      <c r="R214" s="31" t="s">
        <v>7</v>
      </c>
      <c r="S214" s="1">
        <v>1</v>
      </c>
    </row>
    <row r="215" spans="1:23" s="6" customFormat="1" ht="14.25">
      <c r="A215" s="22">
        <f>COUNTIF($R$6:$R$202,"SRSO")</f>
        <v>9</v>
      </c>
      <c r="B215" s="32" t="s">
        <v>215</v>
      </c>
      <c r="C215" s="29">
        <f>SUMIF($R$6:$R$201,"SRSO",$C$6:$C$201)</f>
        <v>431</v>
      </c>
      <c r="D215" s="29">
        <f>SUMIF($R$6:$R$201,"SRSO",$D$6:$D$201)</f>
        <v>338</v>
      </c>
      <c r="E215" s="29">
        <f>SUMIF($R$6:$R$201,"SRSO",$E$6:$E$201)</f>
        <v>338</v>
      </c>
      <c r="F215" s="102">
        <f t="shared" si="56"/>
        <v>0</v>
      </c>
      <c r="G215" s="102">
        <f t="shared" si="52"/>
        <v>78.422273781902561</v>
      </c>
      <c r="H215" s="29">
        <f>SUMIF($R$6:$R$201,"SRSO",$H$6:$H$201)</f>
        <v>1875</v>
      </c>
      <c r="I215" s="29">
        <f>SUMIF($R$6:$R$201,"SRSO",$I$6:$I$201)</f>
        <v>1875</v>
      </c>
      <c r="J215" s="29">
        <f>SUMIF($R$6:$R$201,"SRSO",$J$6:$J$201)</f>
        <v>1183970.1255411254</v>
      </c>
      <c r="K215" s="29">
        <f>SUMIF($R$6:$R$201,"SRSO",$K$6:$K$201)</f>
        <v>591729</v>
      </c>
      <c r="L215" s="29">
        <f>SUMIF($R$6:$R$201,"SRSO",$L$6:$L$201)</f>
        <v>591729</v>
      </c>
      <c r="M215" s="102">
        <f t="shared" si="53"/>
        <v>0</v>
      </c>
      <c r="N215" s="102">
        <f t="shared" si="54"/>
        <v>49.978372531110473</v>
      </c>
      <c r="O215" s="29">
        <f>SUMIF($R$6:$R$201,"SRSO",$O$6:$O$201)</f>
        <v>37065</v>
      </c>
      <c r="P215" s="29">
        <f>SUMIF($R$6:$R$201,"SRSO",$P$6:$P$201)</f>
        <v>37065</v>
      </c>
      <c r="Q215" s="102">
        <f t="shared" si="55"/>
        <v>0</v>
      </c>
      <c r="R215" s="31" t="s">
        <v>8</v>
      </c>
      <c r="S215" s="1">
        <v>1</v>
      </c>
    </row>
    <row r="216" spans="1:23" s="6" customFormat="1" ht="14.25">
      <c r="A216" s="22">
        <f>COUNTIF($R$6:$R$202,"SRSP")</f>
        <v>25</v>
      </c>
      <c r="B216" s="32" t="s">
        <v>216</v>
      </c>
      <c r="C216" s="29">
        <f>SUMIF($R$6:$R$201,"SRSP",$C$6:$C$201)</f>
        <v>924</v>
      </c>
      <c r="D216" s="29">
        <v>573</v>
      </c>
      <c r="E216" s="29">
        <f>SUMIF($R$6:$R$201,"SRSP",$E$6:$E$201)</f>
        <v>583</v>
      </c>
      <c r="F216" s="102">
        <f t="shared" si="56"/>
        <v>1.745200698080279</v>
      </c>
      <c r="G216" s="102">
        <f t="shared" si="52"/>
        <v>63.095238095238095</v>
      </c>
      <c r="H216" s="29">
        <f>SUMIF($R$6:$R$201,"SRSP",$H$6:$H$201)</f>
        <v>3244</v>
      </c>
      <c r="I216" s="29">
        <f>SUMIF($R$6:$R$201,"SRSP",$I$6:$I$201)</f>
        <v>3502</v>
      </c>
      <c r="J216" s="29">
        <f>SUMIF($R$6:$R$201,"SRSP",$J$6:$J$201)</f>
        <v>1843252.2259767302</v>
      </c>
      <c r="K216" s="29">
        <f>SUMIF($R$6:$R$201,"SRSP",$K$6:$K$201)</f>
        <v>669330</v>
      </c>
      <c r="L216" s="29">
        <f>SUMIF($R$6:$R$201,"SRSP",$L$6:$L$201)</f>
        <v>742056</v>
      </c>
      <c r="M216" s="102">
        <f t="shared" si="53"/>
        <v>10.865492358029671</v>
      </c>
      <c r="N216" s="102">
        <f t="shared" si="54"/>
        <v>40.257973897565115</v>
      </c>
      <c r="O216" s="29">
        <f>SUMIF($R$6:$R$201,"SRSP",$O$6:$O$201)</f>
        <v>28796</v>
      </c>
      <c r="P216" s="29">
        <f>SUMIF($R$6:$R$201,"SRSP",$P$6:$P$201)</f>
        <v>30568</v>
      </c>
      <c r="Q216" s="102">
        <f>(P216-O216)/O216%</f>
        <v>6.1536324489512433</v>
      </c>
      <c r="R216" s="31" t="s">
        <v>9</v>
      </c>
      <c r="S216" s="1">
        <v>1</v>
      </c>
      <c r="T216" s="225">
        <f>I216-'[7]1.RSP Districts '!I216</f>
        <v>3502</v>
      </c>
      <c r="U216" s="225">
        <f>P216-'[8]1.RSP Districts '!$P$43</f>
        <v>30568</v>
      </c>
    </row>
    <row r="217" spans="1:23" s="6" customFormat="1" thickBot="1">
      <c r="A217" s="36">
        <f>COUNTIF($R$6:$R$202,"TRDP")</f>
        <v>4</v>
      </c>
      <c r="B217" s="142" t="s">
        <v>217</v>
      </c>
      <c r="C217" s="39">
        <f>SUMIF($R$6:$R$201,"TRDP",$C$6:$C$201)</f>
        <v>151</v>
      </c>
      <c r="D217" s="39">
        <f>SUMIF($R$6:$R$201,"TRDP",$D$6:$D$201)</f>
        <v>113</v>
      </c>
      <c r="E217" s="39">
        <f>SUMIF($R$6:$R$201,"TRDP",$E$6:$E$201)</f>
        <v>113</v>
      </c>
      <c r="F217" s="134">
        <f t="shared" si="56"/>
        <v>0</v>
      </c>
      <c r="G217" s="134">
        <f t="shared" si="52"/>
        <v>74.83443708609272</v>
      </c>
      <c r="H217" s="39">
        <f>SUMIF($R$6:$R$201,"TRDP",$H$6:$H$201)</f>
        <v>561</v>
      </c>
      <c r="I217" s="39">
        <f>SUMIF($R$6:$R$201,"TRDP",$I$6:$I$201)</f>
        <v>561</v>
      </c>
      <c r="J217" s="39">
        <f>SUMIF($R$6:$R$201,"TRDP",$J$6:$J$201)</f>
        <v>519666</v>
      </c>
      <c r="K217" s="39">
        <f>SUMIF($R$6:$R$201,"TRDP",$K$6:$K$201)</f>
        <v>268858</v>
      </c>
      <c r="L217" s="39">
        <f>SUMIF($R$6:$R$201,"TRDP",$L$6:$L$201)</f>
        <v>269984</v>
      </c>
      <c r="M217" s="134">
        <f t="shared" si="53"/>
        <v>0.41880844163089809</v>
      </c>
      <c r="N217" s="134">
        <f t="shared" si="54"/>
        <v>51.953370049223928</v>
      </c>
      <c r="O217" s="39">
        <f>SUMIF($R$6:$R$201,"TRDP",$O$6:$O$201)</f>
        <v>16364</v>
      </c>
      <c r="P217" s="39">
        <f>SUMIF($R$6:$R$201,"TRDP",$P$6:$P$201)</f>
        <v>16443</v>
      </c>
      <c r="Q217" s="134">
        <f t="shared" si="55"/>
        <v>0.48276704962111955</v>
      </c>
      <c r="R217" s="41" t="s">
        <v>10</v>
      </c>
      <c r="S217" s="1">
        <v>1</v>
      </c>
      <c r="U217" s="225">
        <f>C217-'[11]1.RSP Districts '!C217</f>
        <v>151</v>
      </c>
    </row>
    <row r="218" spans="1:23" s="7" customFormat="1" ht="15.75" thickBot="1">
      <c r="A218" s="150">
        <f>SUM(A208:A217)-27</f>
        <v>120</v>
      </c>
      <c r="B218" s="149" t="s">
        <v>159</v>
      </c>
      <c r="C218" s="141">
        <f>C230</f>
        <v>5568</v>
      </c>
      <c r="D218" s="141">
        <f>D230</f>
        <v>3589</v>
      </c>
      <c r="E218" s="141">
        <f>E230</f>
        <v>3616</v>
      </c>
      <c r="F218" s="151">
        <f t="shared" si="56"/>
        <v>0.75229869044302033</v>
      </c>
      <c r="G218" s="151">
        <f t="shared" si="52"/>
        <v>64.94252873563218</v>
      </c>
      <c r="H218" s="56">
        <f>SUM(H208:H217)</f>
        <v>28976</v>
      </c>
      <c r="I218" s="56">
        <f>SUM(I208:I217)</f>
        <v>29249</v>
      </c>
      <c r="J218" s="141">
        <f>J230</f>
        <v>12479974.528189642</v>
      </c>
      <c r="K218" s="56">
        <f>SUM(K208:K217)</f>
        <v>5516750</v>
      </c>
      <c r="L218" s="56">
        <f>SUM(L208:L217)</f>
        <v>5684566</v>
      </c>
      <c r="M218" s="151">
        <f t="shared" si="53"/>
        <v>3.0419359224180904</v>
      </c>
      <c r="N218" s="151">
        <f t="shared" si="54"/>
        <v>45.549500018287368</v>
      </c>
      <c r="O218" s="56">
        <f>SUM(O208:O217)</f>
        <v>333354</v>
      </c>
      <c r="P218" s="56">
        <f>SUM(P208:P217)</f>
        <v>341164</v>
      </c>
      <c r="Q218" s="151">
        <f t="shared" si="55"/>
        <v>2.3428547430059337</v>
      </c>
      <c r="R218" s="140"/>
      <c r="S218" s="1">
        <v>1</v>
      </c>
    </row>
    <row r="219" spans="1:23" s="7" customFormat="1" ht="26.25" customHeight="1">
      <c r="A219" s="119" t="s">
        <v>229</v>
      </c>
      <c r="B219" s="48"/>
      <c r="C219" s="34"/>
      <c r="D219" s="34"/>
      <c r="E219" s="34"/>
      <c r="F219" s="106"/>
      <c r="G219" s="106"/>
      <c r="H219" s="106"/>
      <c r="I219" s="106"/>
      <c r="J219" s="34"/>
      <c r="K219" s="34"/>
      <c r="L219" s="34"/>
      <c r="M219" s="34"/>
      <c r="N219" s="34"/>
      <c r="O219" s="34"/>
      <c r="P219" s="34"/>
      <c r="Q219" s="34"/>
      <c r="R219" s="80"/>
      <c r="S219" s="1">
        <v>1</v>
      </c>
    </row>
    <row r="220" spans="1:23" ht="18" customHeight="1" thickBot="1">
      <c r="A220" s="81" t="s">
        <v>201</v>
      </c>
      <c r="B220" s="13"/>
      <c r="C220" s="58"/>
      <c r="D220" s="27"/>
      <c r="E220" s="27"/>
      <c r="F220" s="103"/>
      <c r="G220" s="103"/>
      <c r="H220" s="103"/>
      <c r="I220" s="103"/>
      <c r="J220" s="58"/>
      <c r="K220" s="58"/>
      <c r="L220" s="58"/>
      <c r="M220" s="58"/>
      <c r="N220" s="58"/>
      <c r="O220" s="58"/>
      <c r="P220" s="58"/>
      <c r="Q220" s="58"/>
      <c r="R220" s="14"/>
      <c r="S220" s="1">
        <v>1</v>
      </c>
    </row>
    <row r="221" spans="1:23" ht="127.5">
      <c r="A221" s="83" t="s">
        <v>221</v>
      </c>
      <c r="B221" s="96" t="s">
        <v>203</v>
      </c>
      <c r="C221" s="52"/>
      <c r="D221" s="100"/>
      <c r="E221" s="100"/>
      <c r="F221" s="107"/>
      <c r="G221" s="107"/>
      <c r="H221" s="107"/>
      <c r="I221" s="107"/>
      <c r="J221" s="52"/>
      <c r="K221" s="52"/>
      <c r="L221" s="52"/>
      <c r="M221" s="52"/>
      <c r="N221" s="52"/>
      <c r="O221" s="54"/>
      <c r="P221" s="54"/>
      <c r="Q221" s="54"/>
      <c r="R221" s="97" t="s">
        <v>222</v>
      </c>
      <c r="S221" s="1">
        <v>1</v>
      </c>
    </row>
    <row r="222" spans="1:23" ht="14.25">
      <c r="A222" s="22">
        <f>A7</f>
        <v>1</v>
      </c>
      <c r="B222" s="32" t="s">
        <v>286</v>
      </c>
      <c r="C222" s="24">
        <f>C7</f>
        <v>12</v>
      </c>
      <c r="D222" s="24">
        <f>D7</f>
        <v>12</v>
      </c>
      <c r="E222" s="24">
        <f>E7</f>
        <v>12</v>
      </c>
      <c r="F222" s="102">
        <f>(E222-D222)/D222%</f>
        <v>0</v>
      </c>
      <c r="G222" s="102">
        <f t="shared" ref="G222:G230" si="57">E222/C222%</f>
        <v>100</v>
      </c>
      <c r="H222" s="24">
        <f>H7</f>
        <v>722</v>
      </c>
      <c r="I222" s="24">
        <f>I7</f>
        <v>722</v>
      </c>
      <c r="J222" s="24">
        <f>J7</f>
        <v>43884</v>
      </c>
      <c r="K222" s="24">
        <f>K7</f>
        <v>26254</v>
      </c>
      <c r="L222" s="24">
        <f>L7</f>
        <v>26328</v>
      </c>
      <c r="M222" s="102">
        <f t="shared" ref="M222:M230" si="58">(L222-K222)/K222%</f>
        <v>0.28186181153348061</v>
      </c>
      <c r="N222" s="102">
        <f t="shared" ref="N222:N230" si="59">L222/J222%</f>
        <v>59.994531036368613</v>
      </c>
      <c r="O222" s="24">
        <f>O7</f>
        <v>1597</v>
      </c>
      <c r="P222" s="24">
        <f>P7</f>
        <v>1601</v>
      </c>
      <c r="Q222" s="102">
        <f t="shared" ref="Q222:Q230" si="60">(P222-O222)/O222%</f>
        <v>0.25046963055729493</v>
      </c>
      <c r="R222" s="79">
        <f>A7</f>
        <v>1</v>
      </c>
      <c r="S222" s="1">
        <v>1</v>
      </c>
    </row>
    <row r="223" spans="1:23" ht="14.25">
      <c r="A223" s="22">
        <f>A40</f>
        <v>19</v>
      </c>
      <c r="B223" s="32" t="s">
        <v>161</v>
      </c>
      <c r="C223" s="24">
        <f>C40</f>
        <v>547</v>
      </c>
      <c r="D223" s="24">
        <f>D40</f>
        <v>279</v>
      </c>
      <c r="E223" s="24">
        <f>E40</f>
        <v>284</v>
      </c>
      <c r="F223" s="102">
        <f t="shared" ref="F223:F230" si="61">(E223-D223)/D223%</f>
        <v>1.7921146953405018</v>
      </c>
      <c r="G223" s="102">
        <f t="shared" si="57"/>
        <v>51.919561243144429</v>
      </c>
      <c r="H223" s="24">
        <f>H40</f>
        <v>2362</v>
      </c>
      <c r="I223" s="24">
        <f>I40</f>
        <v>2362</v>
      </c>
      <c r="J223" s="24">
        <f>J40</f>
        <v>814191</v>
      </c>
      <c r="K223" s="24">
        <f>K40</f>
        <v>288634</v>
      </c>
      <c r="L223" s="24">
        <f>L40</f>
        <v>292698</v>
      </c>
      <c r="M223" s="102">
        <f t="shared" si="58"/>
        <v>1.4080115301731604</v>
      </c>
      <c r="N223" s="102">
        <f t="shared" si="59"/>
        <v>35.949549921332952</v>
      </c>
      <c r="O223" s="24">
        <f>O40</f>
        <v>16518</v>
      </c>
      <c r="P223" s="24">
        <f>P40</f>
        <v>16795</v>
      </c>
      <c r="Q223" s="102">
        <f t="shared" si="60"/>
        <v>1.6769584695483715</v>
      </c>
      <c r="R223" s="78">
        <f>A39</f>
        <v>30</v>
      </c>
      <c r="S223" s="1">
        <v>1</v>
      </c>
    </row>
    <row r="224" spans="1:23" ht="14.25">
      <c r="A224" s="22">
        <f>A77</f>
        <v>21</v>
      </c>
      <c r="B224" s="32" t="s">
        <v>209</v>
      </c>
      <c r="C224" s="24">
        <f>C77</f>
        <v>964</v>
      </c>
      <c r="D224" s="24">
        <f>D77</f>
        <v>548</v>
      </c>
      <c r="E224" s="24">
        <f>E77</f>
        <v>559</v>
      </c>
      <c r="F224" s="102">
        <f t="shared" si="61"/>
        <v>2.0072992700729926</v>
      </c>
      <c r="G224" s="102">
        <f t="shared" si="57"/>
        <v>57.987551867219914</v>
      </c>
      <c r="H224" s="24">
        <f>H77</f>
        <v>5002</v>
      </c>
      <c r="I224" s="24">
        <f>I77</f>
        <v>5059</v>
      </c>
      <c r="J224" s="24">
        <f>J77</f>
        <v>1889904</v>
      </c>
      <c r="K224" s="24">
        <f>K77</f>
        <v>847961</v>
      </c>
      <c r="L224" s="24">
        <f>L77</f>
        <v>921858</v>
      </c>
      <c r="M224" s="102">
        <f t="shared" si="58"/>
        <v>8.714669660515046</v>
      </c>
      <c r="N224" s="102">
        <f t="shared" si="59"/>
        <v>48.778033169938787</v>
      </c>
      <c r="O224" s="24">
        <f>O77</f>
        <v>40365</v>
      </c>
      <c r="P224" s="24">
        <f>P77</f>
        <v>42261</v>
      </c>
      <c r="Q224" s="102">
        <f t="shared" si="60"/>
        <v>4.6971386101820887</v>
      </c>
      <c r="R224" s="79">
        <f>A76</f>
        <v>24</v>
      </c>
      <c r="S224" s="1">
        <v>1</v>
      </c>
    </row>
    <row r="225" spans="1:19" ht="14.25">
      <c r="A225" s="22">
        <f>A104</f>
        <v>22</v>
      </c>
      <c r="B225" s="32" t="s">
        <v>162</v>
      </c>
      <c r="C225" s="24">
        <f>C104</f>
        <v>921</v>
      </c>
      <c r="D225" s="24">
        <f>D104</f>
        <v>690</v>
      </c>
      <c r="E225" s="24">
        <f>E104</f>
        <v>690</v>
      </c>
      <c r="F225" s="102">
        <f t="shared" si="61"/>
        <v>0</v>
      </c>
      <c r="G225" s="102">
        <f t="shared" si="57"/>
        <v>74.918566775244287</v>
      </c>
      <c r="H225" s="24">
        <f>H104</f>
        <v>3953</v>
      </c>
      <c r="I225" s="24">
        <f>I104</f>
        <v>3958</v>
      </c>
      <c r="J225" s="24">
        <f>J104</f>
        <v>2816903.1255411254</v>
      </c>
      <c r="K225" s="24">
        <f>K104</f>
        <v>1163338</v>
      </c>
      <c r="L225" s="24">
        <f>L104</f>
        <v>1183431</v>
      </c>
      <c r="M225" s="102">
        <f t="shared" si="58"/>
        <v>1.7271850485413527</v>
      </c>
      <c r="N225" s="102">
        <f t="shared" si="59"/>
        <v>42.011774891004237</v>
      </c>
      <c r="O225" s="24">
        <f>O104</f>
        <v>71780</v>
      </c>
      <c r="P225" s="24">
        <f>P104</f>
        <v>73226</v>
      </c>
      <c r="Q225" s="102">
        <f t="shared" si="60"/>
        <v>2.0144887155196436</v>
      </c>
      <c r="R225" s="79">
        <f>A103</f>
        <v>23</v>
      </c>
      <c r="S225" s="1">
        <v>1</v>
      </c>
    </row>
    <row r="226" spans="1:19" ht="14.25">
      <c r="A226" s="22">
        <f>A157</f>
        <v>36</v>
      </c>
      <c r="B226" s="32" t="s">
        <v>163</v>
      </c>
      <c r="C226" s="24">
        <f>C157</f>
        <v>2635</v>
      </c>
      <c r="D226" s="24">
        <f>D157</f>
        <v>1771</v>
      </c>
      <c r="E226" s="24">
        <f>E157</f>
        <v>1782</v>
      </c>
      <c r="F226" s="102">
        <f t="shared" si="61"/>
        <v>0.6211180124223602</v>
      </c>
      <c r="G226" s="102">
        <f t="shared" si="57"/>
        <v>67.628083491461098</v>
      </c>
      <c r="H226" s="24">
        <f>H157</f>
        <v>14533</v>
      </c>
      <c r="I226" s="24">
        <f>I157</f>
        <v>14543</v>
      </c>
      <c r="J226" s="24">
        <f>J157</f>
        <v>6063823.2431565113</v>
      </c>
      <c r="K226" s="24">
        <f>K157</f>
        <v>2832633</v>
      </c>
      <c r="L226" s="24">
        <f>L157</f>
        <v>2890443</v>
      </c>
      <c r="M226" s="102">
        <f t="shared" si="58"/>
        <v>2.0408573931038716</v>
      </c>
      <c r="N226" s="102">
        <f t="shared" si="59"/>
        <v>47.66700617901563</v>
      </c>
      <c r="O226" s="24">
        <f>O157</f>
        <v>185520</v>
      </c>
      <c r="P226" s="24">
        <f>P157</f>
        <v>188939</v>
      </c>
      <c r="Q226" s="102">
        <f t="shared" si="60"/>
        <v>1.8429279862009487</v>
      </c>
      <c r="R226" s="79">
        <f>A156</f>
        <v>36</v>
      </c>
      <c r="S226" s="1">
        <v>1</v>
      </c>
    </row>
    <row r="227" spans="1:19" ht="14.25">
      <c r="A227" s="22">
        <f>A176</f>
        <v>10</v>
      </c>
      <c r="B227" s="32" t="s">
        <v>273</v>
      </c>
      <c r="C227" s="24">
        <f>C176</f>
        <v>196</v>
      </c>
      <c r="D227" s="24">
        <f>D176</f>
        <v>180</v>
      </c>
      <c r="E227" s="24">
        <f>E176</f>
        <v>180</v>
      </c>
      <c r="F227" s="102">
        <f t="shared" si="61"/>
        <v>0</v>
      </c>
      <c r="G227" s="102">
        <f t="shared" si="57"/>
        <v>91.83673469387756</v>
      </c>
      <c r="H227" s="24">
        <f>H176</f>
        <v>1885</v>
      </c>
      <c r="I227" s="24">
        <f>I176</f>
        <v>1885</v>
      </c>
      <c r="J227" s="24">
        <f>J176</f>
        <v>398969.65165781637</v>
      </c>
      <c r="K227" s="24">
        <f>K176</f>
        <v>274221</v>
      </c>
      <c r="L227" s="24">
        <f>L176</f>
        <v>284667</v>
      </c>
      <c r="M227" s="102">
        <f t="shared" si="58"/>
        <v>3.8093362652750882</v>
      </c>
      <c r="N227" s="102">
        <f t="shared" si="59"/>
        <v>71.350539775930088</v>
      </c>
      <c r="O227" s="24">
        <f>O176</f>
        <v>13823</v>
      </c>
      <c r="P227" s="24">
        <f>P176</f>
        <v>14556</v>
      </c>
      <c r="Q227" s="102">
        <f t="shared" si="60"/>
        <v>5.3027562757722642</v>
      </c>
      <c r="R227" s="79">
        <f>A175</f>
        <v>10</v>
      </c>
      <c r="S227" s="1">
        <v>1</v>
      </c>
    </row>
    <row r="228" spans="1:19" ht="14.25">
      <c r="A228" s="22">
        <f>A186</f>
        <v>6</v>
      </c>
      <c r="B228" s="32" t="s">
        <v>210</v>
      </c>
      <c r="C228" s="24">
        <f>C186</f>
        <v>103</v>
      </c>
      <c r="D228" s="24">
        <f>D186</f>
        <v>94</v>
      </c>
      <c r="E228" s="24">
        <f>E186</f>
        <v>94</v>
      </c>
      <c r="F228" s="102">
        <f t="shared" si="61"/>
        <v>0</v>
      </c>
      <c r="G228" s="102">
        <f t="shared" si="57"/>
        <v>91.262135922330089</v>
      </c>
      <c r="H228" s="24">
        <f>H186</f>
        <v>486</v>
      </c>
      <c r="I228" s="24">
        <f>I186</f>
        <v>486</v>
      </c>
      <c r="J228" s="24">
        <f>J186</f>
        <v>108649.83396348439</v>
      </c>
      <c r="K228" s="24">
        <f>K186</f>
        <v>75781</v>
      </c>
      <c r="L228" s="24">
        <f>L186</f>
        <v>75781</v>
      </c>
      <c r="M228" s="102">
        <f t="shared" si="58"/>
        <v>0</v>
      </c>
      <c r="N228" s="102">
        <f t="shared" si="59"/>
        <v>69.747920669136846</v>
      </c>
      <c r="O228" s="24">
        <f>O186</f>
        <v>3384</v>
      </c>
      <c r="P228" s="24">
        <f>P186</f>
        <v>3384</v>
      </c>
      <c r="Q228" s="102">
        <f t="shared" si="60"/>
        <v>0</v>
      </c>
      <c r="R228" s="79">
        <f>A185</f>
        <v>7</v>
      </c>
      <c r="S228" s="1">
        <v>1</v>
      </c>
    </row>
    <row r="229" spans="1:19" thickBot="1">
      <c r="A229" s="36">
        <f>A202</f>
        <v>5</v>
      </c>
      <c r="B229" s="142" t="s">
        <v>296</v>
      </c>
      <c r="C229" s="38">
        <f>C202</f>
        <v>190</v>
      </c>
      <c r="D229" s="38">
        <f>D202</f>
        <v>15</v>
      </c>
      <c r="E229" s="38">
        <f>E202</f>
        <v>15</v>
      </c>
      <c r="F229" s="134">
        <f t="shared" si="61"/>
        <v>0</v>
      </c>
      <c r="G229" s="134">
        <f t="shared" si="57"/>
        <v>7.8947368421052637</v>
      </c>
      <c r="H229" s="38">
        <f>H202</f>
        <v>33</v>
      </c>
      <c r="I229" s="38">
        <f>I202</f>
        <v>234</v>
      </c>
      <c r="J229" s="38">
        <f>J202</f>
        <v>343649.6738707067</v>
      </c>
      <c r="K229" s="38">
        <f>K202</f>
        <v>7928</v>
      </c>
      <c r="L229" s="38">
        <f>L202</f>
        <v>9360</v>
      </c>
      <c r="M229" s="134">
        <f t="shared" si="58"/>
        <v>18.062563067608476</v>
      </c>
      <c r="N229" s="134">
        <f t="shared" si="59"/>
        <v>2.7237040252572937</v>
      </c>
      <c r="O229" s="38">
        <f>O202</f>
        <v>367</v>
      </c>
      <c r="P229" s="38">
        <f>P202</f>
        <v>402</v>
      </c>
      <c r="Q229" s="134">
        <f t="shared" si="60"/>
        <v>9.5367847411444142</v>
      </c>
      <c r="R229" s="88">
        <f>A201</f>
        <v>13</v>
      </c>
      <c r="S229" s="1">
        <v>1</v>
      </c>
    </row>
    <row r="230" spans="1:19" s="4" customFormat="1" ht="15.75" thickBot="1">
      <c r="A230" s="150">
        <f>SUM(A222:A229)</f>
        <v>120</v>
      </c>
      <c r="B230" s="139" t="s">
        <v>204</v>
      </c>
      <c r="C230" s="56">
        <f>SUM(C222:C229)</f>
        <v>5568</v>
      </c>
      <c r="D230" s="56">
        <f>SUM(D222:D229)</f>
        <v>3589</v>
      </c>
      <c r="E230" s="56">
        <f>SUM(E222:E229)</f>
        <v>3616</v>
      </c>
      <c r="F230" s="151">
        <f t="shared" si="61"/>
        <v>0.75229869044302033</v>
      </c>
      <c r="G230" s="151">
        <f t="shared" si="57"/>
        <v>64.94252873563218</v>
      </c>
      <c r="H230" s="56">
        <f>SUM(H222:H229)</f>
        <v>28976</v>
      </c>
      <c r="I230" s="56">
        <f>SUM(I222:I229)</f>
        <v>29249</v>
      </c>
      <c r="J230" s="56">
        <f>SUM(J222:J229)</f>
        <v>12479974.528189642</v>
      </c>
      <c r="K230" s="56">
        <f>SUM(K222:K229)</f>
        <v>5516750</v>
      </c>
      <c r="L230" s="56">
        <f>SUM(L222:L229)</f>
        <v>5684566</v>
      </c>
      <c r="M230" s="151">
        <f t="shared" si="58"/>
        <v>3.0419359224180904</v>
      </c>
      <c r="N230" s="151">
        <f t="shared" si="59"/>
        <v>45.549500018287368</v>
      </c>
      <c r="O230" s="56">
        <f>SUM(O222:O229)</f>
        <v>333354</v>
      </c>
      <c r="P230" s="56">
        <f>SUM(P222:P229)</f>
        <v>341164</v>
      </c>
      <c r="Q230" s="151">
        <f t="shared" si="60"/>
        <v>2.3428547430059337</v>
      </c>
      <c r="R230" s="132">
        <f>SUM(R222:R229)</f>
        <v>144</v>
      </c>
      <c r="S230" s="1">
        <v>1</v>
      </c>
    </row>
    <row r="231" spans="1:19">
      <c r="C231" s="8">
        <f>C212-'[3]1.RSP Districts '!C212</f>
        <v>2671</v>
      </c>
      <c r="D231" s="8">
        <f>D212-'[3]1.RSP Districts '!D212</f>
        <v>2031</v>
      </c>
      <c r="E231" s="8">
        <f>E212-'[3]1.RSP Districts '!E212</f>
        <v>2038</v>
      </c>
      <c r="F231" s="8">
        <f>F212-'[3]1.RSP Districts '!F212</f>
        <v>0.34465780403742002</v>
      </c>
      <c r="G231" s="8">
        <f>G212-'[3]1.RSP Districts '!G212</f>
        <v>76.301010857356786</v>
      </c>
      <c r="H231" s="8">
        <f>H212-'[3]1.RSP Districts '!H212</f>
        <v>14334</v>
      </c>
      <c r="I231" s="8">
        <f>I212-'[3]1.RSP Districts '!I212</f>
        <v>14349</v>
      </c>
      <c r="J231" s="8">
        <f>J212-'[3]1.RSP Districts '!J212</f>
        <v>6626342.1141952788</v>
      </c>
      <c r="K231" s="8">
        <f>K212-'[3]1.RSP Districts '!K212</f>
        <v>2332910</v>
      </c>
      <c r="L231" s="8">
        <f>L212-'[3]1.RSP Districts '!L212</f>
        <v>2394947</v>
      </c>
      <c r="M231" s="8">
        <f>M212-'[3]1.RSP Districts '!M212</f>
        <v>2.6592110282865606</v>
      </c>
      <c r="N231" s="8">
        <f>N212-'[3]1.RSP Districts '!N212</f>
        <v>36.142821465094983</v>
      </c>
      <c r="O231" s="8">
        <f>O212-'[3]1.RSP Districts '!O212</f>
        <v>154175</v>
      </c>
      <c r="P231" s="8">
        <f>P212-'[3]1.RSP Districts '!P212</f>
        <v>158284</v>
      </c>
      <c r="Q231" s="8">
        <f>Q212-'[3]1.RSP Districts '!Q212</f>
        <v>2.6651532349602722</v>
      </c>
      <c r="R231" s="8"/>
    </row>
    <row r="232" spans="1:19">
      <c r="C232" s="8">
        <f>C216-'[7]1.RSP Districts '!C214</f>
        <v>924</v>
      </c>
      <c r="D232" s="8">
        <f>D216-'[7]1.RSP Districts '!D214</f>
        <v>573</v>
      </c>
      <c r="E232" s="8">
        <f>E216-'[7]1.RSP Districts '!E214</f>
        <v>583</v>
      </c>
      <c r="F232" s="8">
        <f>F216-'[7]1.RSP Districts '!F214</f>
        <v>1.745200698080279</v>
      </c>
      <c r="G232" s="8">
        <f>G216-'[7]1.RSP Districts '!G214</f>
        <v>63.095238095238095</v>
      </c>
      <c r="H232" s="8">
        <f>H216-'[7]1.RSP Districts '!H214</f>
        <v>3244</v>
      </c>
      <c r="I232" s="8">
        <f>I216-'[7]1.RSP Districts '!I214</f>
        <v>3502</v>
      </c>
      <c r="J232" s="8">
        <f>J216-'[7]1.RSP Districts '!J214</f>
        <v>1843252.2259767302</v>
      </c>
      <c r="K232" s="8">
        <f>K216-'[7]1.RSP Districts '!K214</f>
        <v>669330</v>
      </c>
      <c r="L232" s="8">
        <f>L216-'[7]1.RSP Districts '!L214</f>
        <v>742056</v>
      </c>
      <c r="M232" s="8">
        <f>M216-'[7]1.RSP Districts '!M214</f>
        <v>10.865492358029671</v>
      </c>
      <c r="N232" s="8">
        <f>N216-'[7]1.RSP Districts '!N214</f>
        <v>40.257973897565115</v>
      </c>
      <c r="O232" s="8">
        <f>O216-'[7]1.RSP Districts '!O214</f>
        <v>28796</v>
      </c>
      <c r="P232" s="8">
        <f>P216-'[7]1.RSP Districts '!P214</f>
        <v>30568</v>
      </c>
      <c r="Q232" s="8">
        <f>Q216-'[7]1.RSP Districts '!Q214</f>
        <v>6.1536324489512433</v>
      </c>
      <c r="R232" s="8" t="e">
        <f>R216-'[7]1.RSP Districts '!R214</f>
        <v>#VALUE!</v>
      </c>
    </row>
    <row r="233" spans="1:19">
      <c r="C233" s="8">
        <f>C217-'[11]1.RSP Districts '!C215</f>
        <v>151</v>
      </c>
      <c r="D233" s="8">
        <f>D217-'[11]1.RSP Districts '!D215</f>
        <v>113</v>
      </c>
      <c r="E233" s="8">
        <f>E217-'[11]1.RSP Districts '!E215</f>
        <v>113</v>
      </c>
      <c r="F233" s="8">
        <f>F217-'[11]1.RSP Districts '!F215</f>
        <v>0</v>
      </c>
      <c r="G233" s="8">
        <f>G217-'[11]1.RSP Districts '!G215</f>
        <v>74.83443708609272</v>
      </c>
      <c r="H233" s="8">
        <f>H217-'[11]1.RSP Districts '!H215</f>
        <v>561</v>
      </c>
      <c r="I233" s="8">
        <f>I217-'[11]1.RSP Districts '!I215</f>
        <v>561</v>
      </c>
      <c r="J233" s="8">
        <f>J217-'[11]1.RSP Districts '!J215</f>
        <v>519666</v>
      </c>
      <c r="K233" s="8">
        <f>K217-'[11]1.RSP Districts '!K215</f>
        <v>268858</v>
      </c>
      <c r="L233" s="8">
        <f>L217-'[11]1.RSP Districts '!L215</f>
        <v>269984</v>
      </c>
      <c r="M233" s="8">
        <f>M217-'[11]1.RSP Districts '!M215</f>
        <v>0.41880844163089809</v>
      </c>
      <c r="N233" s="8">
        <f>N217-'[11]1.RSP Districts '!N215</f>
        <v>51.953370049223928</v>
      </c>
      <c r="O233" s="8">
        <f>O217-'[11]1.RSP Districts '!O215</f>
        <v>16364</v>
      </c>
      <c r="P233" s="8">
        <f>P217-'[11]1.RSP Districts '!P215</f>
        <v>16443</v>
      </c>
      <c r="Q233" s="8">
        <f>Q217-'[11]1.RSP Districts '!Q215</f>
        <v>0.48276704962111955</v>
      </c>
    </row>
    <row r="234" spans="1:19">
      <c r="B234" s="10"/>
      <c r="C234" s="8">
        <f>C210-'[5]1.RSP Districts '!C208</f>
        <v>313</v>
      </c>
      <c r="D234" s="8">
        <f>D210-'[5]1.RSP Districts '!D208</f>
        <v>204</v>
      </c>
      <c r="E234" s="8">
        <f>E210-'[5]1.RSP Districts '!E208</f>
        <v>204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9">
      <c r="H235" s="3"/>
      <c r="I235" s="3"/>
    </row>
    <row r="236" spans="1:19">
      <c r="H236" s="3"/>
      <c r="I236" s="3"/>
    </row>
    <row r="237" spans="1:19">
      <c r="H237" s="3"/>
      <c r="I237" s="3"/>
    </row>
    <row r="238" spans="1:19">
      <c r="H238" s="3"/>
      <c r="I238" s="3"/>
    </row>
    <row r="239" spans="1:19">
      <c r="H239" s="3"/>
      <c r="I239" s="3"/>
    </row>
    <row r="240" spans="1:19">
      <c r="H240" s="3"/>
      <c r="I240" s="3"/>
    </row>
    <row r="241" spans="8:13">
      <c r="H241" s="3"/>
      <c r="I241" s="3"/>
    </row>
    <row r="242" spans="8:13">
      <c r="H242" s="3"/>
      <c r="I242" s="3"/>
    </row>
    <row r="243" spans="8:13">
      <c r="H243" s="3"/>
      <c r="I243" s="3"/>
    </row>
    <row r="244" spans="8:13">
      <c r="H244" s="3"/>
      <c r="I244" s="3"/>
    </row>
    <row r="245" spans="8:13">
      <c r="H245" s="3"/>
      <c r="I245" s="3"/>
    </row>
    <row r="246" spans="8:13">
      <c r="H246" s="3"/>
      <c r="I246" s="3"/>
    </row>
    <row r="247" spans="8:13">
      <c r="H247" s="3"/>
      <c r="I247" s="3"/>
    </row>
    <row r="248" spans="8:13">
      <c r="H248" s="3"/>
      <c r="I248" s="3"/>
    </row>
    <row r="249" spans="8:13">
      <c r="H249" s="3"/>
      <c r="I249" s="3"/>
    </row>
    <row r="253" spans="8:13">
      <c r="M253" s="27"/>
    </row>
    <row r="254" spans="8:13">
      <c r="M254" s="27"/>
    </row>
    <row r="255" spans="8:13">
      <c r="M255" s="27"/>
    </row>
    <row r="256" spans="8:13">
      <c r="M256" s="27"/>
    </row>
    <row r="257" spans="13:13">
      <c r="M257" s="27"/>
    </row>
    <row r="258" spans="13:13">
      <c r="M258" s="27"/>
    </row>
    <row r="259" spans="13:13">
      <c r="M259" s="27"/>
    </row>
    <row r="260" spans="13:13">
      <c r="M260" s="27"/>
    </row>
    <row r="261" spans="13:13">
      <c r="M261" s="27"/>
    </row>
  </sheetData>
  <autoFilter ref="R5:R234">
    <filterColumn colId="0"/>
  </autoFilter>
  <mergeCells count="11">
    <mergeCell ref="D2:G2"/>
    <mergeCell ref="H2:H3"/>
    <mergeCell ref="A1:R1"/>
    <mergeCell ref="A2:A3"/>
    <mergeCell ref="B2:B3"/>
    <mergeCell ref="R2:R3"/>
    <mergeCell ref="C2:C3"/>
    <mergeCell ref="J2:J3"/>
    <mergeCell ref="O2:Q2"/>
    <mergeCell ref="K2:N2"/>
    <mergeCell ref="I2:I3"/>
  </mergeCells>
  <phoneticPr fontId="34" type="noConversion"/>
  <pageMargins left="1.1599999999999999" right="0.16" top="0.2" bottom="0.18" header="0.17" footer="0.16"/>
  <pageSetup paperSize="9" scale="46" orientation="landscape" r:id="rId1"/>
  <headerFooter alignWithMargins="0"/>
  <rowBreaks count="6" manualBreakCount="6">
    <brk id="40" max="16383" man="1"/>
    <brk id="78" max="16383" man="1"/>
    <brk id="104" max="16383" man="1"/>
    <brk id="157" max="16383" man="1"/>
    <brk id="186" max="16383" man="1"/>
    <brk id="204" max="16383" man="1"/>
  </rowBreaks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T57"/>
  <sheetViews>
    <sheetView view="pageBreakPreview" zoomScale="70" zoomScaleSheetLayoutView="7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M2" sqref="M2"/>
    </sheetView>
  </sheetViews>
  <sheetFormatPr defaultRowHeight="12.75"/>
  <cols>
    <col min="1" max="1" width="30" style="74" customWidth="1"/>
    <col min="2" max="2" width="21.7109375" style="74" customWidth="1"/>
    <col min="3" max="3" width="9.7109375" style="74" bestFit="1" customWidth="1"/>
    <col min="4" max="4" width="10.7109375" style="60" bestFit="1" customWidth="1"/>
    <col min="5" max="5" width="10.7109375" style="162" bestFit="1" customWidth="1"/>
    <col min="6" max="6" width="12.7109375" style="60" customWidth="1"/>
    <col min="7" max="7" width="12.140625" style="60" bestFit="1" customWidth="1"/>
    <col min="8" max="8" width="14.7109375" style="60" customWidth="1"/>
    <col min="9" max="9" width="9.7109375" style="60" bestFit="1" customWidth="1"/>
    <col min="10" max="10" width="10.7109375" style="60" customWidth="1"/>
    <col min="11" max="11" width="12.140625" style="60" bestFit="1" customWidth="1"/>
    <col min="12" max="12" width="10.7109375" style="60" bestFit="1" customWidth="1"/>
    <col min="13" max="13" width="12.140625" style="60" bestFit="1" customWidth="1"/>
    <col min="14" max="14" width="10" style="60" bestFit="1" customWidth="1"/>
    <col min="15" max="15" width="13.140625" style="60" bestFit="1" customWidth="1"/>
    <col min="16" max="16" width="12.42578125" style="60" bestFit="1" customWidth="1"/>
    <col min="17" max="16384" width="9.140625" style="60"/>
  </cols>
  <sheetData>
    <row r="1" spans="1:20" ht="13.5" thickBot="1">
      <c r="A1" s="120" t="s">
        <v>316</v>
      </c>
      <c r="B1" s="60"/>
      <c r="C1" s="60"/>
      <c r="D1" s="75"/>
      <c r="E1" s="163"/>
      <c r="F1" s="75"/>
      <c r="G1" s="59"/>
      <c r="H1" s="59"/>
      <c r="I1" s="75"/>
      <c r="J1" s="75"/>
      <c r="K1" s="75"/>
      <c r="L1" s="75"/>
    </row>
    <row r="2" spans="1:20" s="76" customFormat="1">
      <c r="A2" s="260" t="s">
        <v>0</v>
      </c>
      <c r="B2" s="261"/>
      <c r="C2" s="217" t="s">
        <v>271</v>
      </c>
      <c r="D2" s="217" t="s">
        <v>2</v>
      </c>
      <c r="E2" s="217" t="s">
        <v>3</v>
      </c>
      <c r="F2" s="217" t="s">
        <v>4</v>
      </c>
      <c r="G2" s="161" t="s">
        <v>5</v>
      </c>
      <c r="H2" s="217" t="s">
        <v>6</v>
      </c>
      <c r="I2" s="226" t="s">
        <v>7</v>
      </c>
      <c r="J2" s="217" t="s">
        <v>8</v>
      </c>
      <c r="K2" s="217" t="s">
        <v>9</v>
      </c>
      <c r="L2" s="217" t="s">
        <v>10</v>
      </c>
      <c r="M2" s="77" t="s">
        <v>16</v>
      </c>
    </row>
    <row r="3" spans="1:20" ht="13.5" customHeight="1">
      <c r="A3" s="61"/>
      <c r="B3" s="62"/>
      <c r="C3" s="62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0" s="63" customFormat="1">
      <c r="A4" s="262" t="s">
        <v>220</v>
      </c>
      <c r="B4" s="262"/>
      <c r="C4" s="159">
        <f>'1.RSP Districts '!A208</f>
        <v>8</v>
      </c>
      <c r="D4" s="159">
        <f>'1.RSP Districts '!A209</f>
        <v>7</v>
      </c>
      <c r="E4" s="159">
        <f>'1.RSP Districts '!A210</f>
        <v>14</v>
      </c>
      <c r="F4" s="159">
        <f>'1.RSP Districts '!A211</f>
        <v>3</v>
      </c>
      <c r="G4" s="159">
        <f>'1.RSP Districts '!A212</f>
        <v>55</v>
      </c>
      <c r="H4" s="159">
        <f>'1.RSP Districts '!A213</f>
        <v>21</v>
      </c>
      <c r="I4" s="159">
        <f>'1.RSP Districts '!A214</f>
        <v>1</v>
      </c>
      <c r="J4" s="159">
        <f>'1.RSP Districts '!A215</f>
        <v>9</v>
      </c>
      <c r="K4" s="159">
        <f>'1.RSP Districts '!A216</f>
        <v>25</v>
      </c>
      <c r="L4" s="159">
        <f>'1.RSP Districts '!A217</f>
        <v>4</v>
      </c>
      <c r="M4" s="159">
        <f>'1.RSP Districts '!A230</f>
        <v>120</v>
      </c>
      <c r="N4" s="84"/>
      <c r="O4" s="68"/>
    </row>
    <row r="5" spans="1:20" s="63" customFormat="1">
      <c r="A5" s="263" t="s">
        <v>11</v>
      </c>
      <c r="B5" s="262"/>
      <c r="C5" s="159">
        <f>'1.RSP Districts '!E208</f>
        <v>136</v>
      </c>
      <c r="D5" s="138">
        <f>'1.RSP Districts '!E209</f>
        <v>118</v>
      </c>
      <c r="E5" s="138">
        <f>'1.RSP Districts '!E210</f>
        <v>204</v>
      </c>
      <c r="F5" s="138">
        <f>'1.RSP Districts '!E211</f>
        <v>22</v>
      </c>
      <c r="G5" s="138">
        <f>'1.RSP Districts '!E212</f>
        <v>2038</v>
      </c>
      <c r="H5" s="138">
        <f>'1.RSP Districts '!E213</f>
        <v>714</v>
      </c>
      <c r="I5" s="138">
        <f>'1.RSP Districts '!E214</f>
        <v>13</v>
      </c>
      <c r="J5" s="138">
        <f>'1.RSP Districts '!E215</f>
        <v>338</v>
      </c>
      <c r="K5" s="138">
        <f>'1.RSP Districts '!E216</f>
        <v>583</v>
      </c>
      <c r="L5" s="138">
        <f>'1.RSP Districts '!E217</f>
        <v>113</v>
      </c>
      <c r="M5" s="159">
        <f>'1.RSP Districts '!E230</f>
        <v>3616</v>
      </c>
      <c r="N5" s="84">
        <f>M5-'1.RSP Districts '!E230</f>
        <v>0</v>
      </c>
      <c r="O5" s="68"/>
    </row>
    <row r="6" spans="1:20" s="63" customFormat="1">
      <c r="A6" s="263" t="s">
        <v>288</v>
      </c>
      <c r="B6" s="262"/>
      <c r="C6" s="159">
        <f>'1.RSP Districts '!L208</f>
        <v>102320</v>
      </c>
      <c r="D6" s="159">
        <f>'1.RSP Districts '!L209</f>
        <v>110695</v>
      </c>
      <c r="E6" s="159">
        <f>'1.RSP Districts '!L210</f>
        <v>192619</v>
      </c>
      <c r="F6" s="159">
        <f>'1.RSP Districts '!L211</f>
        <v>34714</v>
      </c>
      <c r="G6" s="159">
        <f>'1.RSP Districts '!L212</f>
        <v>2394947</v>
      </c>
      <c r="H6" s="159">
        <f>'1.RSP Districts '!L213</f>
        <v>1229002</v>
      </c>
      <c r="I6" s="159">
        <f>'1.RSP Districts '!L214</f>
        <v>16500</v>
      </c>
      <c r="J6" s="159">
        <f>'1.RSP Districts '!L215</f>
        <v>591729</v>
      </c>
      <c r="K6" s="159">
        <f>'1.RSP Districts '!L216</f>
        <v>742056</v>
      </c>
      <c r="L6" s="159">
        <f>'1.RSP Districts '!L217</f>
        <v>269984</v>
      </c>
      <c r="M6" s="159">
        <f>SUM(C6:L6)</f>
        <v>5684566</v>
      </c>
      <c r="N6" s="85">
        <f>M6/1000000</f>
        <v>5.6845660000000002</v>
      </c>
      <c r="O6" s="67">
        <f>N6*6.5</f>
        <v>36.949679000000003</v>
      </c>
      <c r="P6" s="63">
        <f>200+90+160+54</f>
        <v>504</v>
      </c>
    </row>
    <row r="7" spans="1:20" s="63" customFormat="1">
      <c r="A7" s="263" t="s">
        <v>12</v>
      </c>
      <c r="B7" s="262"/>
      <c r="C7" s="168">
        <v>33</v>
      </c>
      <c r="D7" s="168">
        <v>59</v>
      </c>
      <c r="E7" s="168">
        <v>46</v>
      </c>
      <c r="F7" s="168">
        <v>8</v>
      </c>
      <c r="G7" s="168">
        <f>561-C7</f>
        <v>528</v>
      </c>
      <c r="H7" s="159">
        <v>30</v>
      </c>
      <c r="I7" s="244">
        <v>1</v>
      </c>
      <c r="J7" s="168">
        <v>125</v>
      </c>
      <c r="K7" s="168">
        <v>101</v>
      </c>
      <c r="L7" s="168">
        <v>39</v>
      </c>
      <c r="M7" s="159">
        <f>SUM(C7:L7)</f>
        <v>970</v>
      </c>
      <c r="N7" s="84"/>
      <c r="O7" s="68"/>
      <c r="P7" s="63">
        <f>266298-265794</f>
        <v>504</v>
      </c>
    </row>
    <row r="8" spans="1:20" s="63" customFormat="1">
      <c r="A8" s="259" t="s">
        <v>289</v>
      </c>
      <c r="B8" s="110" t="s">
        <v>13</v>
      </c>
      <c r="C8" s="159">
        <f>'[16]2. Overall com progres June 13'!C8</f>
        <v>1577</v>
      </c>
      <c r="D8" s="159">
        <f>'[15]2. Overall com progres June 13'!D8</f>
        <v>2171</v>
      </c>
      <c r="E8" s="169">
        <f>'[5]2. Overall cum progress March14'!E8</f>
        <v>3535</v>
      </c>
      <c r="F8" s="169">
        <f>'[17]2. Overall cum progress March14'!F8</f>
        <v>1709</v>
      </c>
      <c r="G8" s="169">
        <f>'[3]2. Overall cum progress March14'!G8</f>
        <v>74111</v>
      </c>
      <c r="H8" s="131">
        <f>'[13]2. Overall com progres Sep-13'!H8</f>
        <v>30428</v>
      </c>
      <c r="I8" s="156">
        <v>410</v>
      </c>
      <c r="J8" s="169">
        <f>'[18]2. Overall cum progress March14'!J8</f>
        <v>32866</v>
      </c>
      <c r="K8" s="169">
        <f>'[8]2. Overall cum progress March14'!K8</f>
        <v>9848</v>
      </c>
      <c r="L8" s="169">
        <v>8639</v>
      </c>
      <c r="M8" s="159">
        <f>SUM(C8:L8)</f>
        <v>165294</v>
      </c>
      <c r="N8" s="85">
        <f>M8/M11%</f>
        <v>48.450012310794811</v>
      </c>
      <c r="O8" s="68"/>
      <c r="P8" s="63" t="s">
        <v>242</v>
      </c>
    </row>
    <row r="9" spans="1:20" s="63" customFormat="1">
      <c r="A9" s="259"/>
      <c r="B9" s="111" t="s">
        <v>14</v>
      </c>
      <c r="C9" s="159">
        <f>'[16]2. Overall com progres June 13'!C9</f>
        <v>2138</v>
      </c>
      <c r="D9" s="159">
        <f>'[15]2. Overall com progres June 13'!D9</f>
        <v>2893</v>
      </c>
      <c r="E9" s="169">
        <f>'[5]2. Overall cum progress March14'!E9</f>
        <v>8141</v>
      </c>
      <c r="F9" s="169">
        <f>'[17]2. Overall cum progress March14'!F9</f>
        <v>1420</v>
      </c>
      <c r="G9" s="169">
        <f>'[3]2. Overall cum progress March14'!G9</f>
        <v>74080</v>
      </c>
      <c r="H9" s="131">
        <f>'[13]2. Overall com progres Sep-13'!H9</f>
        <v>42843</v>
      </c>
      <c r="I9" s="156">
        <v>450</v>
      </c>
      <c r="J9" s="169">
        <f>'[18]2. Overall cum progress March14'!J9</f>
        <v>4159</v>
      </c>
      <c r="K9" s="169">
        <f>'[8]2. Overall cum progress March14'!K9</f>
        <v>20618</v>
      </c>
      <c r="L9" s="169">
        <v>5833</v>
      </c>
      <c r="M9" s="159">
        <f>SUM(C9:L9)</f>
        <v>162575</v>
      </c>
      <c r="N9" s="84"/>
      <c r="O9" s="68"/>
      <c r="P9" s="63">
        <v>19</v>
      </c>
      <c r="Q9" s="63">
        <f>P9*18</f>
        <v>342</v>
      </c>
    </row>
    <row r="10" spans="1:20" s="63" customFormat="1">
      <c r="A10" s="259"/>
      <c r="B10" s="111" t="s">
        <v>15</v>
      </c>
      <c r="C10" s="159">
        <f>'[16]2. Overall com progres June 13'!C10</f>
        <v>1035</v>
      </c>
      <c r="D10" s="159">
        <f>'[15]2. Overall com progres June 13'!D10</f>
        <v>0</v>
      </c>
      <c r="E10" s="169">
        <f>'[5]2. Overall cum progress March14'!E10</f>
        <v>54</v>
      </c>
      <c r="F10" s="169">
        <f>'[17]2. Overall cum progress March14'!F10</f>
        <v>0</v>
      </c>
      <c r="G10" s="169">
        <f>'[3]2. Overall cum progress March14'!G10</f>
        <v>10093</v>
      </c>
      <c r="H10" s="131">
        <f>'[13]2. Overall com progres Sep-13'!H10</f>
        <v>0</v>
      </c>
      <c r="I10" s="156"/>
      <c r="J10" s="169">
        <f>'[18]2. Overall cum progress March14'!J10</f>
        <v>40</v>
      </c>
      <c r="K10" s="169">
        <f>'[8]2. Overall cum progress March14'!K10</f>
        <v>102</v>
      </c>
      <c r="L10" s="169">
        <v>1971</v>
      </c>
      <c r="M10" s="159">
        <f>SUM(C10:L10)</f>
        <v>13295</v>
      </c>
      <c r="N10" s="84" t="e">
        <f>(M11-N11)/N11%</f>
        <v>#DIV/0!</v>
      </c>
      <c r="O10" s="68"/>
      <c r="P10" s="63">
        <v>6</v>
      </c>
      <c r="Q10" s="63">
        <v>120</v>
      </c>
    </row>
    <row r="11" spans="1:20" s="63" customFormat="1">
      <c r="A11" s="259"/>
      <c r="B11" s="112" t="s">
        <v>16</v>
      </c>
      <c r="C11" s="160">
        <f>SUM(C8:C10)</f>
        <v>4750</v>
      </c>
      <c r="D11" s="160">
        <f t="shared" ref="D11:L11" si="0">SUM(D8:D10)</f>
        <v>5064</v>
      </c>
      <c r="E11" s="223">
        <v>11730</v>
      </c>
      <c r="F11" s="160">
        <f t="shared" ref="F11:G11" si="1">SUM(F8:F10)</f>
        <v>3129</v>
      </c>
      <c r="G11" s="160">
        <f t="shared" si="1"/>
        <v>158284</v>
      </c>
      <c r="H11" s="160">
        <f t="shared" ref="H11" si="2">SUM(H8:H10)</f>
        <v>73271</v>
      </c>
      <c r="I11" s="160">
        <f t="shared" si="0"/>
        <v>860</v>
      </c>
      <c r="J11" s="160">
        <f t="shared" si="0"/>
        <v>37065</v>
      </c>
      <c r="K11" s="241">
        <f t="shared" si="0"/>
        <v>30568</v>
      </c>
      <c r="L11" s="241">
        <f t="shared" si="0"/>
        <v>16443</v>
      </c>
      <c r="M11" s="160">
        <f>SUM(M8:M10)</f>
        <v>341164</v>
      </c>
      <c r="N11" s="84"/>
      <c r="O11" s="68">
        <f>L11-16178</f>
        <v>265</v>
      </c>
      <c r="P11" s="63">
        <v>2</v>
      </c>
      <c r="Q11" s="63">
        <v>40</v>
      </c>
    </row>
    <row r="12" spans="1:20" s="63" customFormat="1">
      <c r="A12" s="264" t="s">
        <v>304</v>
      </c>
      <c r="B12" s="110" t="s">
        <v>17</v>
      </c>
      <c r="C12" s="159">
        <f>'[16]2. Overall com progres June 13'!C12</f>
        <v>44063</v>
      </c>
      <c r="D12" s="159">
        <f>'[15]2. Overall com progres June 13'!D12</f>
        <v>84455</v>
      </c>
      <c r="E12" s="169">
        <f>'[5]2. Overall cum progress March14'!E12</f>
        <v>58796</v>
      </c>
      <c r="F12" s="169">
        <f>'[17]2. Overall cum progress March14'!F12</f>
        <v>28469</v>
      </c>
      <c r="G12" s="169">
        <f>'[3]2. Overall cum progress March14'!G12</f>
        <v>1311756</v>
      </c>
      <c r="H12" s="131">
        <f>'[13]2. Overall com progres Sep-13'!H12</f>
        <v>501743</v>
      </c>
      <c r="I12" s="156">
        <v>10845</v>
      </c>
      <c r="J12" s="169">
        <f>'[18]2. Overall cum progress March14'!J12</f>
        <v>553067</v>
      </c>
      <c r="K12" s="169">
        <f>'[8]2. Overall cum progress March14'!K12</f>
        <v>236403</v>
      </c>
      <c r="L12" s="169">
        <f>'[11]2. Overall cum progress March14'!L12</f>
        <v>178474</v>
      </c>
      <c r="M12" s="159">
        <f>SUM(C12:L12)</f>
        <v>3008071</v>
      </c>
      <c r="N12" s="116">
        <f>M12/M14%</f>
        <v>51.282649722879057</v>
      </c>
      <c r="O12" s="68"/>
      <c r="Q12" s="63">
        <f>SUM(Q9:Q11)</f>
        <v>502</v>
      </c>
    </row>
    <row r="13" spans="1:20" s="63" customFormat="1">
      <c r="A13" s="264"/>
      <c r="B13" s="111" t="s">
        <v>18</v>
      </c>
      <c r="C13" s="159">
        <f>'[16]2. Overall com progres June 13'!C13</f>
        <v>58257</v>
      </c>
      <c r="D13" s="159">
        <f>'[15]2. Overall com progres June 13'!D13</f>
        <v>121509</v>
      </c>
      <c r="E13" s="169">
        <f>'[5]2. Overall cum progress March14'!E13</f>
        <v>133778</v>
      </c>
      <c r="F13" s="169">
        <f>'[17]2. Overall cum progress March14'!F13</f>
        <v>26262</v>
      </c>
      <c r="G13" s="169">
        <f>'[3]2. Overall cum progress March14'!G13</f>
        <v>1082991</v>
      </c>
      <c r="H13" s="131">
        <f>'[13]2. Overall com progres Sep-13'!H13</f>
        <v>737477</v>
      </c>
      <c r="I13" s="156">
        <v>11348</v>
      </c>
      <c r="J13" s="169">
        <f>'[18]2. Overall cum progress March14'!J13</f>
        <v>38662</v>
      </c>
      <c r="K13" s="169">
        <f>'[8]2. Overall cum progress March14'!K13</f>
        <v>505653</v>
      </c>
      <c r="L13" s="169">
        <f>'[11]2. Overall cum progress March14'!L13</f>
        <v>141662</v>
      </c>
      <c r="M13" s="159">
        <f>SUM(C13:L13)</f>
        <v>2857599</v>
      </c>
      <c r="N13" s="84"/>
      <c r="O13" s="68"/>
    </row>
    <row r="14" spans="1:20" s="63" customFormat="1">
      <c r="A14" s="264"/>
      <c r="B14" s="113" t="s">
        <v>16</v>
      </c>
      <c r="C14" s="160">
        <f>SUM(C12:C13)</f>
        <v>102320</v>
      </c>
      <c r="D14" s="160">
        <f t="shared" ref="D14:M14" si="3">SUM(D12:D13)</f>
        <v>205964</v>
      </c>
      <c r="E14" s="160">
        <f t="shared" si="3"/>
        <v>192574</v>
      </c>
      <c r="F14" s="160">
        <f t="shared" ref="F14:G14" si="4">SUM(F12:F13)</f>
        <v>54731</v>
      </c>
      <c r="G14" s="160">
        <f t="shared" si="4"/>
        <v>2394747</v>
      </c>
      <c r="H14" s="160">
        <f t="shared" ref="H14" si="5">SUM(H12:H13)</f>
        <v>1239220</v>
      </c>
      <c r="I14" s="160">
        <f t="shared" si="3"/>
        <v>22193</v>
      </c>
      <c r="J14" s="160">
        <f t="shared" si="3"/>
        <v>591729</v>
      </c>
      <c r="K14" s="241">
        <f t="shared" si="3"/>
        <v>742056</v>
      </c>
      <c r="L14" s="160">
        <f t="shared" si="3"/>
        <v>320136</v>
      </c>
      <c r="M14" s="160">
        <f t="shared" si="3"/>
        <v>5865670</v>
      </c>
      <c r="N14" s="85">
        <f>M14/1000000</f>
        <v>5.8656699999999997</v>
      </c>
      <c r="O14" s="68">
        <f>L14-314221</f>
        <v>5915</v>
      </c>
      <c r="T14" s="63">
        <f>E12/E8</f>
        <v>16.632531824611032</v>
      </c>
    </row>
    <row r="15" spans="1:20" s="67" customFormat="1">
      <c r="A15" s="265" t="s">
        <v>223</v>
      </c>
      <c r="B15" s="114" t="s">
        <v>17</v>
      </c>
      <c r="C15" s="159">
        <f>'[16]2. Overall com progres June 13'!C15</f>
        <v>24.064</v>
      </c>
      <c r="D15" s="159">
        <f>'[15]2. Overall com progres June 13'!D15</f>
        <v>129.43899999999999</v>
      </c>
      <c r="E15" s="169">
        <f>'[5]2. Overall cum progress March14'!E15</f>
        <v>5.45</v>
      </c>
      <c r="F15" s="169">
        <f>'[17]2. Overall cum progress March14'!F15</f>
        <v>4.3</v>
      </c>
      <c r="G15" s="169">
        <f>'[3]2. Overall cum progress March14'!G15</f>
        <v>234.75</v>
      </c>
      <c r="H15" s="131">
        <f>'[13]2. Overall com progres Sep-13'!H15</f>
        <v>71.710999999999999</v>
      </c>
      <c r="I15" s="156">
        <v>0</v>
      </c>
      <c r="J15" s="169">
        <f>'[18]2. Overall cum progress March14'!J15</f>
        <v>110</v>
      </c>
      <c r="K15" s="169">
        <f>'[7]2. Overall cum progress March14'!K15</f>
        <v>38.497070069149999</v>
      </c>
      <c r="L15" s="169">
        <f>'[11]2. Overall cum progress March14'!L15</f>
        <v>82.540209999999988</v>
      </c>
      <c r="M15" s="159">
        <f>SUM(C15:L15)</f>
        <v>700.75128006914997</v>
      </c>
      <c r="N15" s="84"/>
      <c r="O15" s="68"/>
      <c r="P15" s="67">
        <v>742335</v>
      </c>
      <c r="T15" s="67">
        <f>E13/E9</f>
        <v>16.432624984645621</v>
      </c>
    </row>
    <row r="16" spans="1:20" s="67" customFormat="1">
      <c r="A16" s="265"/>
      <c r="B16" s="108" t="s">
        <v>18</v>
      </c>
      <c r="C16" s="159">
        <f>'[16]2. Overall com progres June 13'!C16</f>
        <v>11.851000000000001</v>
      </c>
      <c r="D16" s="159">
        <f>'[15]2. Overall com progres June 13'!D16</f>
        <v>371.08199999999999</v>
      </c>
      <c r="E16" s="169">
        <f>'[5]2. Overall cum progress March14'!E16</f>
        <v>8.7799999999999994</v>
      </c>
      <c r="F16" s="169">
        <f>'[17]2. Overall cum progress March14'!F16</f>
        <v>5.0999999999999996</v>
      </c>
      <c r="G16" s="169">
        <f>'[3]2. Overall cum progress March14'!G16</f>
        <v>1136.32</v>
      </c>
      <c r="H16" s="131">
        <f>'[13]2. Overall com progres Sep-13'!H16</f>
        <v>72.14</v>
      </c>
      <c r="I16" s="156">
        <v>1</v>
      </c>
      <c r="J16" s="169">
        <f>'[18]2. Overall cum progress March14'!J16</f>
        <v>7</v>
      </c>
      <c r="K16" s="169">
        <f>'[7]2. Overall cum progress March14'!K16</f>
        <v>100.78366029753501</v>
      </c>
      <c r="L16" s="169">
        <f>'[11]2. Overall cum progress March14'!L16</f>
        <v>120.445775</v>
      </c>
      <c r="M16" s="159">
        <f>SUM(C16:L16)</f>
        <v>1834.5024352975349</v>
      </c>
      <c r="N16" s="84"/>
      <c r="O16" s="68"/>
      <c r="P16" s="67">
        <f>P15/1000000</f>
        <v>0.74233499999999997</v>
      </c>
    </row>
    <row r="17" spans="1:16" s="67" customFormat="1">
      <c r="A17" s="265"/>
      <c r="B17" s="113" t="s">
        <v>16</v>
      </c>
      <c r="C17" s="160">
        <f>SUM(C15:C16)</f>
        <v>35.914999999999999</v>
      </c>
      <c r="D17" s="160">
        <f t="shared" ref="D17:M17" si="6">SUM(D15:D16)</f>
        <v>500.52099999999996</v>
      </c>
      <c r="E17" s="223">
        <v>14.23</v>
      </c>
      <c r="F17" s="160">
        <f t="shared" ref="F17:H17" si="7">SUM(F15:F16)</f>
        <v>9.3999999999999986</v>
      </c>
      <c r="G17" s="160">
        <f t="shared" si="7"/>
        <v>1371.07</v>
      </c>
      <c r="H17" s="160">
        <f t="shared" si="7"/>
        <v>143.851</v>
      </c>
      <c r="I17" s="160">
        <f t="shared" si="6"/>
        <v>1</v>
      </c>
      <c r="J17" s="160">
        <f t="shared" si="6"/>
        <v>117</v>
      </c>
      <c r="K17" s="167">
        <f>SUM(K15:K16)</f>
        <v>139.28073036668502</v>
      </c>
      <c r="L17" s="167">
        <f t="shared" ref="L17" si="8">SUM(L15:L16)</f>
        <v>202.98598499999997</v>
      </c>
      <c r="M17" s="160">
        <f t="shared" si="6"/>
        <v>2535.2537153666849</v>
      </c>
      <c r="N17" s="84"/>
      <c r="O17" s="68"/>
    </row>
    <row r="18" spans="1:16" s="63" customFormat="1">
      <c r="A18" s="259" t="s">
        <v>19</v>
      </c>
      <c r="B18" s="110" t="s">
        <v>17</v>
      </c>
      <c r="C18" s="159">
        <f>'[16]2. Overall com progres June 13'!C18</f>
        <v>10954</v>
      </c>
      <c r="D18" s="159">
        <f>'[15]2. Overall com progres June 13'!D18</f>
        <v>58754</v>
      </c>
      <c r="E18" s="169">
        <f>'[5]2. Overall cum progress March14'!E18</f>
        <v>50627</v>
      </c>
      <c r="F18" s="169">
        <f>'[17]2. Overall cum progress March14'!F18</f>
        <v>12468</v>
      </c>
      <c r="G18" s="169">
        <f>'[3]2. Overall cum progress March14'!G18</f>
        <v>1320923</v>
      </c>
      <c r="H18" s="131">
        <f>'[13]2. Overall com progres Sep-13'!H18</f>
        <v>146334</v>
      </c>
      <c r="I18" s="156">
        <v>4830</v>
      </c>
      <c r="J18" s="169">
        <f>'[18]2. Overall cum progress March14'!J18</f>
        <v>227505</v>
      </c>
      <c r="K18" s="169">
        <f>'[7]2. Overall cum progress March14'!K18</f>
        <v>61576</v>
      </c>
      <c r="L18" s="169">
        <f>'[11]2. Overall cum progress March14'!L18</f>
        <v>98524</v>
      </c>
      <c r="M18" s="159">
        <f>SUM(C18:L18)</f>
        <v>1992495</v>
      </c>
      <c r="N18" s="67">
        <f>M18/1000000</f>
        <v>1.9924949999999999</v>
      </c>
      <c r="O18" s="67">
        <f>M18/M20%</f>
        <v>52.465862214425684</v>
      </c>
    </row>
    <row r="19" spans="1:16" s="63" customFormat="1">
      <c r="A19" s="259"/>
      <c r="B19" s="111" t="s">
        <v>18</v>
      </c>
      <c r="C19" s="159">
        <f>'[16]2. Overall com progres June 13'!C19</f>
        <v>6385</v>
      </c>
      <c r="D19" s="159">
        <f>'[15]2. Overall com progres June 13'!D19</f>
        <v>27804</v>
      </c>
      <c r="E19" s="169">
        <f>'[5]2. Overall cum progress March14'!E19</f>
        <v>116446</v>
      </c>
      <c r="F19" s="169">
        <f>'[17]2. Overall cum progress March14'!F19</f>
        <v>4435</v>
      </c>
      <c r="G19" s="169">
        <f>'[3]2. Overall cum progress March14'!G19</f>
        <v>1114142</v>
      </c>
      <c r="H19" s="168">
        <v>329777</v>
      </c>
      <c r="I19" s="156">
        <v>4825</v>
      </c>
      <c r="J19" s="169">
        <f>'[18]2. Overall cum progress March14'!J19</f>
        <v>13129</v>
      </c>
      <c r="K19" s="169">
        <f>'[7]2. Overall cum progress March14'!K19</f>
        <v>95408</v>
      </c>
      <c r="L19" s="169">
        <f>'[11]2. Overall cum progress March14'!L19</f>
        <v>92852</v>
      </c>
      <c r="M19" s="159">
        <f>SUM(C19:L19)</f>
        <v>1805203</v>
      </c>
      <c r="N19" s="84"/>
      <c r="O19" s="68"/>
    </row>
    <row r="20" spans="1:16" s="63" customFormat="1">
      <c r="A20" s="259"/>
      <c r="B20" s="112" t="s">
        <v>16</v>
      </c>
      <c r="C20" s="160">
        <f>SUM(C18:C19)</f>
        <v>17339</v>
      </c>
      <c r="D20" s="160">
        <f t="shared" ref="D20:M20" si="9">SUM(D18:D19)</f>
        <v>86558</v>
      </c>
      <c r="E20" s="223">
        <v>167073</v>
      </c>
      <c r="F20" s="160">
        <f t="shared" ref="F20:G20" si="10">SUM(F18:F19)</f>
        <v>16903</v>
      </c>
      <c r="G20" s="160">
        <f t="shared" si="10"/>
        <v>2435065</v>
      </c>
      <c r="H20" s="160">
        <f t="shared" ref="H20" si="11">SUM(H18:H19)</f>
        <v>476111</v>
      </c>
      <c r="I20" s="160">
        <f t="shared" si="9"/>
        <v>9655</v>
      </c>
      <c r="J20" s="160">
        <f t="shared" si="9"/>
        <v>240634</v>
      </c>
      <c r="K20" s="160">
        <f t="shared" si="9"/>
        <v>156984</v>
      </c>
      <c r="L20" s="160">
        <f t="shared" ref="L20" si="12">SUM(L18:L19)</f>
        <v>191376</v>
      </c>
      <c r="M20" s="160">
        <f t="shared" si="9"/>
        <v>3797698</v>
      </c>
      <c r="N20" s="67">
        <f>M20/1000000</f>
        <v>3.797698</v>
      </c>
      <c r="O20" s="68"/>
    </row>
    <row r="21" spans="1:16" s="63" customFormat="1">
      <c r="A21" s="266" t="s">
        <v>205</v>
      </c>
      <c r="B21" s="111" t="s">
        <v>297</v>
      </c>
      <c r="C21" s="159">
        <f>'[16]2. Overall com progres June 13'!C21</f>
        <v>6</v>
      </c>
      <c r="D21" s="159">
        <f>'[15]2. Overall com progres June 13'!D21</f>
        <v>12</v>
      </c>
      <c r="E21" s="169">
        <f>'[5]2. Overall cum progress March14'!E21</f>
        <v>2</v>
      </c>
      <c r="F21" s="168">
        <f>'[17]2. Overall cum progress March14'!F21</f>
        <v>1</v>
      </c>
      <c r="G21" s="169">
        <f>'[3]2. Overall cum progress March14'!G21</f>
        <v>211</v>
      </c>
      <c r="H21" s="131">
        <f>'[13]2. Overall com progres Sep-13'!H21</f>
        <v>2</v>
      </c>
      <c r="I21" s="156">
        <v>0</v>
      </c>
      <c r="J21" s="169">
        <f>'[18]2. Overall cum progress March14'!J21</f>
        <v>31</v>
      </c>
      <c r="K21" s="168">
        <f>'[7]2. Overall cum progress March14'!K21</f>
        <v>0</v>
      </c>
      <c r="L21" s="169">
        <f>'[11]2. Overall cum progress March14'!L21</f>
        <v>8</v>
      </c>
      <c r="M21" s="159">
        <f t="shared" ref="M21:M26" si="13">SUM(C21:L21)</f>
        <v>273</v>
      </c>
      <c r="N21" s="84"/>
      <c r="O21" s="68"/>
    </row>
    <row r="22" spans="1:16" s="63" customFormat="1">
      <c r="A22" s="267"/>
      <c r="B22" s="111" t="s">
        <v>298</v>
      </c>
      <c r="C22" s="159">
        <f>'[16]2. Overall com progres June 13'!C22</f>
        <v>0</v>
      </c>
      <c r="D22" s="159">
        <f>'[15]2. Overall com progres June 13'!D22</f>
        <v>0</v>
      </c>
      <c r="E22" s="169">
        <f>'[5]2. Overall cum progress March14'!E22</f>
        <v>0</v>
      </c>
      <c r="F22" s="169">
        <f>'[17]2. Overall cum progress March14'!F22</f>
        <v>10</v>
      </c>
      <c r="G22" s="169">
        <f>'[3]2. Overall cum progress March14'!G22</f>
        <v>74</v>
      </c>
      <c r="H22" s="131">
        <f>'[13]2. Overall com progres Sep-13'!H22</f>
        <v>33</v>
      </c>
      <c r="I22" s="156">
        <v>0</v>
      </c>
      <c r="J22" s="169">
        <f>'[18]2. Overall cum progress March14'!J22</f>
        <v>3608</v>
      </c>
      <c r="K22" s="169">
        <f>'[7]2. Overall cum progress March14'!K22</f>
        <v>326</v>
      </c>
      <c r="L22" s="169">
        <f>'[11]2. Overall cum progress March14'!L22</f>
        <v>1307</v>
      </c>
      <c r="M22" s="159">
        <f t="shared" si="13"/>
        <v>5358</v>
      </c>
      <c r="N22" s="84"/>
      <c r="O22" s="68"/>
    </row>
    <row r="23" spans="1:16" s="63" customFormat="1">
      <c r="A23" s="267"/>
      <c r="B23" s="111" t="s">
        <v>299</v>
      </c>
      <c r="C23" s="159">
        <f>'[16]2. Overall com progres June 13'!C23</f>
        <v>1094</v>
      </c>
      <c r="D23" s="159">
        <f>'[15]2. Overall com progres June 13'!D23</f>
        <v>2055</v>
      </c>
      <c r="E23" s="169">
        <f>'[5]2. Overall cum progress March14'!E23</f>
        <v>20</v>
      </c>
      <c r="F23" s="169">
        <f>'[17]2. Overall cum progress March14'!F23</f>
        <v>42</v>
      </c>
      <c r="G23" s="169">
        <f>'[3]2. Overall cum progress March14'!G23</f>
        <v>30193</v>
      </c>
      <c r="H23" s="131">
        <f>'[13]2. Overall com progres Sep-13'!H23</f>
        <v>2929</v>
      </c>
      <c r="I23" s="156">
        <v>0</v>
      </c>
      <c r="J23" s="169">
        <f>'[18]2. Overall cum progress March14'!J23</f>
        <v>96764</v>
      </c>
      <c r="K23" s="169">
        <f>'[7]2. Overall cum progress March14'!K23</f>
        <v>34859</v>
      </c>
      <c r="L23" s="169">
        <f>'[11]2. Overall cum progress March14'!L23</f>
        <v>17101</v>
      </c>
      <c r="M23" s="159">
        <f t="shared" si="13"/>
        <v>185057</v>
      </c>
      <c r="N23" s="84"/>
      <c r="O23" s="68"/>
    </row>
    <row r="24" spans="1:16" s="63" customFormat="1" ht="25.5">
      <c r="A24" s="268"/>
      <c r="B24" s="111" t="s">
        <v>206</v>
      </c>
      <c r="C24" s="159">
        <f>'[16]2. Overall com progres June 13'!C24</f>
        <v>16</v>
      </c>
      <c r="D24" s="159">
        <f>'[15]2. Overall com progres June 13'!D24</f>
        <v>16.106083000000002</v>
      </c>
      <c r="E24" s="169">
        <f>'[5]2. Overall cum progress March14'!E24</f>
        <v>1</v>
      </c>
      <c r="F24" s="169">
        <f>'[17]2. Overall cum progress March14'!F24</f>
        <v>0.6</v>
      </c>
      <c r="G24" s="169">
        <f>'[3]2. Overall cum progress March14'!G24</f>
        <v>381.4</v>
      </c>
      <c r="H24" s="131">
        <f>'[13]2. Overall com progres Sep-13'!H24</f>
        <v>34.74</v>
      </c>
      <c r="I24" s="156">
        <v>0</v>
      </c>
      <c r="J24" s="169">
        <f>'[18]2. Overall cum progress March14'!J24</f>
        <v>977</v>
      </c>
      <c r="K24" s="169">
        <f>'[7]2. Overall cum progress March14'!K24/1000000</f>
        <v>379.10849999999999</v>
      </c>
      <c r="L24" s="169">
        <f>'[11]2. Overall cum progress March14'!L24</f>
        <v>228.29499999999999</v>
      </c>
      <c r="M24" s="109">
        <f t="shared" si="13"/>
        <v>2034.249583</v>
      </c>
      <c r="N24" s="85">
        <f>M24/90</f>
        <v>22.602773144444445</v>
      </c>
      <c r="O24" s="117">
        <f>M24/85</f>
        <v>23.932348035294119</v>
      </c>
    </row>
    <row r="25" spans="1:16" s="67" customFormat="1">
      <c r="A25" s="269" t="s">
        <v>20</v>
      </c>
      <c r="B25" s="114" t="s">
        <v>17</v>
      </c>
      <c r="C25" s="159">
        <f>'[16]2. Overall com progres June 13'!C25</f>
        <v>79.263000000000005</v>
      </c>
      <c r="D25" s="159">
        <f>'[15]2. Overall com progres June 13'!D25</f>
        <v>195</v>
      </c>
      <c r="E25" s="169">
        <f>'[5]2. Overall cum progress March14'!E25</f>
        <v>9</v>
      </c>
      <c r="F25" s="169">
        <f>'[17]2. Overall cum progress March14'!F25</f>
        <v>404</v>
      </c>
      <c r="G25" s="169">
        <f>'[3]2. Overall cum progress March14'!G25</f>
        <v>35209.361709999997</v>
      </c>
      <c r="H25" s="131">
        <f>'[13]2. Overall com progres Sep-13'!H25</f>
        <v>4636.5300000000007</v>
      </c>
      <c r="I25" s="156">
        <v>0</v>
      </c>
      <c r="J25" s="169">
        <f>'[18]2. Overall cum progress March14'!J25</f>
        <v>4287</v>
      </c>
      <c r="K25" s="169">
        <f>'[7]2. Overall cum progress March14'!K25/1000000</f>
        <v>366.774</v>
      </c>
      <c r="L25" s="169">
        <f>'[11]2. Overall cum progress March14'!L25</f>
        <v>3432.0570000000002</v>
      </c>
      <c r="M25" s="159">
        <f t="shared" si="13"/>
        <v>48618.985709999994</v>
      </c>
      <c r="N25" s="116">
        <f>M25/1000</f>
        <v>48.618985709999997</v>
      </c>
      <c r="O25" s="117">
        <f>M25/85</f>
        <v>571.98806717647051</v>
      </c>
    </row>
    <row r="26" spans="1:16" s="67" customFormat="1">
      <c r="A26" s="269"/>
      <c r="B26" s="108" t="s">
        <v>18</v>
      </c>
      <c r="C26" s="159">
        <f>'[16]2. Overall com progres June 13'!C26</f>
        <v>58.572000000000003</v>
      </c>
      <c r="D26" s="159">
        <f>'[15]2. Overall com progres June 13'!D26</f>
        <v>833</v>
      </c>
      <c r="E26" s="169">
        <f>'[5]2. Overall cum progress March14'!E26</f>
        <v>16</v>
      </c>
      <c r="F26" s="169">
        <f>'[17]2. Overall cum progress March14'!F26</f>
        <v>87</v>
      </c>
      <c r="G26" s="169">
        <f>'[3]2. Overall cum progress March14'!G26</f>
        <v>45161.134202000001</v>
      </c>
      <c r="H26" s="131">
        <f>'[13]2. Overall com progres Sep-13'!H26</f>
        <v>6449.51</v>
      </c>
      <c r="I26" s="156">
        <v>0</v>
      </c>
      <c r="J26" s="169">
        <f>'[18]2. Overall cum progress March14'!J26</f>
        <v>646</v>
      </c>
      <c r="K26" s="169">
        <f>'[7]2. Overall cum progress March14'!K26/1000000</f>
        <v>279.91399999999999</v>
      </c>
      <c r="L26" s="169">
        <f>'[11]2. Overall cum progress March14'!L26</f>
        <v>3276.393</v>
      </c>
      <c r="M26" s="159">
        <f t="shared" si="13"/>
        <v>56807.523201999997</v>
      </c>
      <c r="N26" s="84"/>
      <c r="O26" s="117"/>
    </row>
    <row r="27" spans="1:16" s="67" customFormat="1">
      <c r="A27" s="269"/>
      <c r="B27" s="115" t="s">
        <v>16</v>
      </c>
      <c r="C27" s="160">
        <f>SUM(C25:C26)</f>
        <v>137.83500000000001</v>
      </c>
      <c r="D27" s="160">
        <f t="shared" ref="D27:M27" si="14">SUM(D25:D26)</f>
        <v>1028</v>
      </c>
      <c r="E27" s="224">
        <v>25</v>
      </c>
      <c r="F27" s="160">
        <f t="shared" ref="F27:G27" si="15">SUM(F25:F26)</f>
        <v>491</v>
      </c>
      <c r="G27" s="160">
        <f t="shared" si="15"/>
        <v>80370.495911999998</v>
      </c>
      <c r="H27" s="160">
        <f t="shared" ref="H27" si="16">SUM(H25:H26)</f>
        <v>11086.04</v>
      </c>
      <c r="I27" s="160">
        <f t="shared" si="14"/>
        <v>0</v>
      </c>
      <c r="J27" s="160">
        <f t="shared" si="14"/>
        <v>4933</v>
      </c>
      <c r="K27" s="160">
        <f>SUM(K25:K26)</f>
        <v>646.68799999999999</v>
      </c>
      <c r="L27" s="160">
        <f t="shared" ref="L27" si="17">SUM(L25:L26)</f>
        <v>6708.4500000000007</v>
      </c>
      <c r="M27" s="160">
        <f t="shared" si="14"/>
        <v>105426.50891199999</v>
      </c>
      <c r="N27" s="116">
        <f>M27/1000</f>
        <v>105.42650891199999</v>
      </c>
      <c r="O27" s="117">
        <f>M27/85</f>
        <v>1240.3118695529411</v>
      </c>
    </row>
    <row r="28" spans="1:16" s="63" customFormat="1">
      <c r="A28" s="259" t="s">
        <v>21</v>
      </c>
      <c r="B28" s="110" t="s">
        <v>17</v>
      </c>
      <c r="C28" s="159">
        <f>'[16]2. Overall com progres June 13'!C28</f>
        <v>4764</v>
      </c>
      <c r="D28" s="159">
        <f>'[15]2. Overall com progres June 13'!D28</f>
        <v>74813</v>
      </c>
      <c r="E28" s="169">
        <f>'[5]2. Overall cum progress March14'!E28</f>
        <v>1156</v>
      </c>
      <c r="F28" s="169">
        <f>'[17]2. Overall cum progress March14'!F28</f>
        <v>26389</v>
      </c>
      <c r="G28" s="169">
        <f>'[3]2. Overall cum progress March14'!G28</f>
        <v>2254245</v>
      </c>
      <c r="H28" s="131">
        <f>'[13]2. Overall com progres Sep-13'!H28</f>
        <v>324012</v>
      </c>
      <c r="I28" s="156">
        <v>0</v>
      </c>
      <c r="J28" s="169">
        <f>'[18]2. Overall cum progress March14'!J28</f>
        <v>262804</v>
      </c>
      <c r="K28" s="169">
        <f>'[7]2. Overall cum progress March14'!K28</f>
        <v>31754</v>
      </c>
      <c r="L28" s="169">
        <f>'[11]2. Overall cum progress March14'!L28</f>
        <v>255092</v>
      </c>
      <c r="M28" s="159">
        <f>SUM(C28:L28)</f>
        <v>3235029</v>
      </c>
      <c r="N28" s="116">
        <f>M28/1000000</f>
        <v>3.2350289999999999</v>
      </c>
      <c r="O28" s="68"/>
      <c r="P28" s="63">
        <f>M28/M30%</f>
        <v>45.511898757684023</v>
      </c>
    </row>
    <row r="29" spans="1:16" s="63" customFormat="1">
      <c r="A29" s="259"/>
      <c r="B29" s="111" t="s">
        <v>18</v>
      </c>
      <c r="C29" s="159">
        <f>'[16]2. Overall com progres June 13'!C29</f>
        <v>3217</v>
      </c>
      <c r="D29" s="159">
        <f>'[15]2. Overall com progres June 13'!D29</f>
        <v>546311</v>
      </c>
      <c r="E29" s="169">
        <f>'[5]2. Overall cum progress March14'!E29</f>
        <v>1600</v>
      </c>
      <c r="F29" s="169">
        <f>'[17]2. Overall cum progress March14'!F29</f>
        <v>5990</v>
      </c>
      <c r="G29" s="169">
        <f>'[3]2. Overall cum progress March14'!G29</f>
        <v>2605160</v>
      </c>
      <c r="H29" s="131">
        <f>'[13]2. Overall com progres Sep-13'!H29</f>
        <v>448702</v>
      </c>
      <c r="I29" s="156">
        <v>0</v>
      </c>
      <c r="J29" s="169">
        <f>'[18]2. Overall cum progress March14'!J29</f>
        <v>44260</v>
      </c>
      <c r="K29" s="169">
        <f>'[7]2. Overall cum progress March14'!K29</f>
        <v>25551</v>
      </c>
      <c r="L29" s="169">
        <f>'[11]2. Overall cum progress March14'!L29</f>
        <v>192275</v>
      </c>
      <c r="M29" s="159">
        <f>SUM(C29:L29)</f>
        <v>3873066</v>
      </c>
      <c r="N29" s="116"/>
      <c r="O29" s="68"/>
    </row>
    <row r="30" spans="1:16" s="63" customFormat="1">
      <c r="A30" s="259"/>
      <c r="B30" s="112" t="s">
        <v>16</v>
      </c>
      <c r="C30" s="160">
        <f>SUM(C28:C29)</f>
        <v>7981</v>
      </c>
      <c r="D30" s="160">
        <f t="shared" ref="D30:M30" si="18">SUM(D28:D29)</f>
        <v>621124</v>
      </c>
      <c r="E30" s="224">
        <v>2756</v>
      </c>
      <c r="F30" s="160">
        <f t="shared" ref="F30:G30" si="19">SUM(F28:F29)</f>
        <v>32379</v>
      </c>
      <c r="G30" s="160">
        <f t="shared" si="19"/>
        <v>4859405</v>
      </c>
      <c r="H30" s="160">
        <f>SUM(H28:H29)</f>
        <v>772714</v>
      </c>
      <c r="I30" s="160">
        <f t="shared" si="18"/>
        <v>0</v>
      </c>
      <c r="J30" s="160">
        <f t="shared" si="18"/>
        <v>307064</v>
      </c>
      <c r="K30" s="160">
        <f t="shared" si="18"/>
        <v>57305</v>
      </c>
      <c r="L30" s="160">
        <f t="shared" ref="L30" si="20">SUM(L28:L29)</f>
        <v>447367</v>
      </c>
      <c r="M30" s="160">
        <f t="shared" si="18"/>
        <v>7108095</v>
      </c>
      <c r="N30" s="116">
        <f>M30/1000000</f>
        <v>7.1080949999999996</v>
      </c>
      <c r="O30" s="68"/>
    </row>
    <row r="31" spans="1:16" s="68" customFormat="1">
      <c r="A31" s="269" t="s">
        <v>207</v>
      </c>
      <c r="B31" s="110" t="s">
        <v>17</v>
      </c>
      <c r="C31" s="159">
        <f>'[16]2. Overall com progres June 13'!C31</f>
        <v>0</v>
      </c>
      <c r="D31" s="159">
        <f>'[15]2. Overall com progres June 13'!D31</f>
        <v>74813</v>
      </c>
      <c r="E31" s="169">
        <f>'[5]2. Overall cum progress March14'!E31</f>
        <v>0</v>
      </c>
      <c r="F31" s="169">
        <f>'[17]2. Overall cum progress March14'!F31</f>
        <v>23053</v>
      </c>
      <c r="G31" s="169">
        <f>'[3]2. Overall cum progress March14'!G31</f>
        <v>830712</v>
      </c>
      <c r="H31" s="131">
        <f>'[13]2. Overall com progres Sep-13'!H31</f>
        <v>0</v>
      </c>
      <c r="I31" s="156">
        <v>0</v>
      </c>
      <c r="J31" s="169">
        <f>'[18]2. Overall cum progress March14'!J31</f>
        <v>225094</v>
      </c>
      <c r="K31" s="169">
        <f>'[7]2. Overall cum progress March14'!K31</f>
        <v>5834</v>
      </c>
      <c r="L31" s="169">
        <f>'[11]2. Overall cum progress March14'!L31</f>
        <v>86533</v>
      </c>
      <c r="M31" s="159">
        <f>SUM(C31:L31)</f>
        <v>1246039</v>
      </c>
      <c r="N31" s="68">
        <f>M31/M33%</f>
        <v>31.603072757329986</v>
      </c>
    </row>
    <row r="32" spans="1:16" s="68" customFormat="1">
      <c r="A32" s="269"/>
      <c r="B32" s="111" t="s">
        <v>18</v>
      </c>
      <c r="C32" s="159">
        <f>'[16]2. Overall com progres June 13'!C32</f>
        <v>0</v>
      </c>
      <c r="D32" s="159">
        <f>'[15]2. Overall com progres June 13'!D32</f>
        <v>546311</v>
      </c>
      <c r="E32" s="169">
        <f>'[5]2. Overall cum progress March14'!E32</f>
        <v>0</v>
      </c>
      <c r="F32" s="169">
        <f>'[17]2. Overall cum progress March14'!F32</f>
        <v>7212</v>
      </c>
      <c r="G32" s="169">
        <f>'[3]2. Overall cum progress March14'!G32</f>
        <v>2008234</v>
      </c>
      <c r="H32" s="131">
        <f>'[13]2. Overall com progres Sep-13'!H32</f>
        <v>0</v>
      </c>
      <c r="I32" s="156">
        <v>0</v>
      </c>
      <c r="J32" s="169">
        <f>'[18]2. Overall cum progress March14'!J32</f>
        <v>40601</v>
      </c>
      <c r="K32" s="169">
        <f>'[7]2. Overall cum progress March14'!K32</f>
        <v>21566</v>
      </c>
      <c r="L32" s="169">
        <f>'[11]2. Overall cum progress March14'!L32</f>
        <v>72815</v>
      </c>
      <c r="M32" s="159">
        <f>SUM(C32:L32)</f>
        <v>2696739</v>
      </c>
    </row>
    <row r="33" spans="1:15" s="68" customFormat="1">
      <c r="A33" s="269"/>
      <c r="B33" s="112" t="s">
        <v>16</v>
      </c>
      <c r="C33" s="160">
        <f>SUM(C31:C32)</f>
        <v>0</v>
      </c>
      <c r="D33" s="160">
        <f t="shared" ref="D33:M33" si="21">SUM(D31:D32)</f>
        <v>621124</v>
      </c>
      <c r="E33" s="224">
        <v>0</v>
      </c>
      <c r="F33" s="160">
        <f t="shared" ref="F33:G33" si="22">SUM(F31:F32)</f>
        <v>30265</v>
      </c>
      <c r="G33" s="160">
        <f t="shared" si="22"/>
        <v>2838946</v>
      </c>
      <c r="H33" s="160">
        <f>SUM(H31:H32)</f>
        <v>0</v>
      </c>
      <c r="I33" s="160">
        <f t="shared" si="21"/>
        <v>0</v>
      </c>
      <c r="J33" s="160">
        <f t="shared" si="21"/>
        <v>265695</v>
      </c>
      <c r="K33" s="160">
        <f t="shared" si="21"/>
        <v>27400</v>
      </c>
      <c r="L33" s="160">
        <f t="shared" ref="L33" si="23">SUM(L31:L32)</f>
        <v>159348</v>
      </c>
      <c r="M33" s="160">
        <f t="shared" si="21"/>
        <v>3942778</v>
      </c>
      <c r="N33" s="67">
        <f>M33/1000000</f>
        <v>3.9427780000000001</v>
      </c>
    </row>
    <row r="34" spans="1:15" s="63" customFormat="1" ht="13.15" customHeight="1">
      <c r="A34" s="271" t="s">
        <v>239</v>
      </c>
      <c r="B34" s="111" t="s">
        <v>17</v>
      </c>
      <c r="C34" s="159">
        <f>'[16]2. Overall com progres June 13'!C34</f>
        <v>0</v>
      </c>
      <c r="D34" s="159">
        <f>'[15]2. Overall com progres June 13'!D34</f>
        <v>74813</v>
      </c>
      <c r="E34" s="169">
        <f>'[5]2. Overall cum progress March14'!E34</f>
        <v>0</v>
      </c>
      <c r="F34" s="169">
        <f>'[17]2. Overall cum progress March14'!F34</f>
        <v>23053</v>
      </c>
      <c r="G34" s="169">
        <f>'[3]2. Overall cum progress March14'!G34</f>
        <v>1718947</v>
      </c>
      <c r="H34" s="131">
        <f>'[13]2. Overall com progres Sep-13'!H34</f>
        <v>0</v>
      </c>
      <c r="I34" s="156">
        <v>0</v>
      </c>
      <c r="J34" s="169">
        <f>'[18]2. Overall cum progress March14'!J34</f>
        <v>360015</v>
      </c>
      <c r="K34" s="169">
        <f>K31*6</f>
        <v>35004</v>
      </c>
      <c r="L34" s="169">
        <f>'[11]2. Overall cum progress March14'!L34</f>
        <v>88190</v>
      </c>
      <c r="M34" s="159">
        <f>SUM(C34:L34)</f>
        <v>2300022</v>
      </c>
      <c r="N34" s="67">
        <f>M34/1000000</f>
        <v>2.3000219999999998</v>
      </c>
      <c r="O34" s="68"/>
    </row>
    <row r="35" spans="1:15" s="63" customFormat="1">
      <c r="A35" s="271"/>
      <c r="B35" s="111" t="s">
        <v>18</v>
      </c>
      <c r="C35" s="159">
        <f>'[16]2. Overall com progres June 13'!C35</f>
        <v>0</v>
      </c>
      <c r="D35" s="159">
        <f>'[15]2. Overall com progres June 13'!D35</f>
        <v>546311</v>
      </c>
      <c r="E35" s="169">
        <f>'[5]2. Overall cum progress March14'!E35</f>
        <v>0</v>
      </c>
      <c r="F35" s="169">
        <f>'[17]2. Overall cum progress March14'!F35</f>
        <v>7212</v>
      </c>
      <c r="G35" s="169">
        <f>'[3]2. Overall cum progress March14'!G35</f>
        <v>2798762</v>
      </c>
      <c r="H35" s="131">
        <f>'[13]2. Overall com progres Sep-13'!H35</f>
        <v>0</v>
      </c>
      <c r="I35" s="156">
        <v>0</v>
      </c>
      <c r="J35" s="169">
        <f>'[18]2. Overall cum progress March14'!J35</f>
        <v>257340</v>
      </c>
      <c r="K35" s="169">
        <f>K32*6</f>
        <v>129396</v>
      </c>
      <c r="L35" s="169">
        <f>'[11]2. Overall cum progress March14'!L35</f>
        <v>73703</v>
      </c>
      <c r="M35" s="159">
        <f>SUM(C35:L35)</f>
        <v>3812724</v>
      </c>
      <c r="N35" s="84"/>
      <c r="O35" s="68"/>
    </row>
    <row r="36" spans="1:15" s="63" customFormat="1">
      <c r="A36" s="271"/>
      <c r="B36" s="112" t="s">
        <v>16</v>
      </c>
      <c r="C36" s="160">
        <f>SUM(C34:C35)</f>
        <v>0</v>
      </c>
      <c r="D36" s="160">
        <f t="shared" ref="D36:M36" si="24">SUM(D34:D35)</f>
        <v>621124</v>
      </c>
      <c r="E36" s="224">
        <v>0</v>
      </c>
      <c r="F36" s="160">
        <f t="shared" ref="F36:G36" si="25">SUM(F34:F35)</f>
        <v>30265</v>
      </c>
      <c r="G36" s="160">
        <f t="shared" si="25"/>
        <v>4517709</v>
      </c>
      <c r="H36" s="160">
        <f>SUM(H34:H35)</f>
        <v>0</v>
      </c>
      <c r="I36" s="160">
        <f t="shared" si="24"/>
        <v>0</v>
      </c>
      <c r="J36" s="160">
        <f t="shared" si="24"/>
        <v>617355</v>
      </c>
      <c r="K36" s="160">
        <f t="shared" si="24"/>
        <v>164400</v>
      </c>
      <c r="L36" s="160">
        <f t="shared" ref="L36" si="26">SUM(L34:L35)</f>
        <v>161893</v>
      </c>
      <c r="M36" s="160">
        <f t="shared" si="24"/>
        <v>6112746</v>
      </c>
      <c r="N36" s="67">
        <f>M36/1000000</f>
        <v>6.1127459999999996</v>
      </c>
      <c r="O36" s="68"/>
    </row>
    <row r="37" spans="1:15" s="69" customFormat="1">
      <c r="A37" s="272" t="s">
        <v>290</v>
      </c>
      <c r="B37" s="273"/>
      <c r="C37" s="159">
        <f>'[16]2. Overall com progres June 13'!C37</f>
        <v>1637</v>
      </c>
      <c r="D37" s="159">
        <f>'[15]2. Overall com progres June 13'!D37</f>
        <v>3576</v>
      </c>
      <c r="E37" s="169">
        <f>'[5]2. Overall cum progress March14'!E37</f>
        <v>1477</v>
      </c>
      <c r="F37" s="169">
        <f>'[17]2. Overall cum progress March14'!F37</f>
        <v>639</v>
      </c>
      <c r="G37" s="169">
        <f>'[3]2. Overall cum progress March14'!G37</f>
        <v>30049</v>
      </c>
      <c r="H37" s="131">
        <f>'[13]2. Overall com progres Sep-13'!H37</f>
        <v>6433</v>
      </c>
      <c r="I37" s="156">
        <v>0</v>
      </c>
      <c r="J37" s="169">
        <f>'[18]2. Overall cum progress March14'!J37</f>
        <v>39606</v>
      </c>
      <c r="K37" s="169">
        <f>'[7]2. Overall cum progress March14'!K37</f>
        <v>8674</v>
      </c>
      <c r="L37" s="169">
        <f>'[11]2. Overall cum progress March14'!L37</f>
        <v>60559</v>
      </c>
      <c r="M37" s="159">
        <f t="shared" ref="M37:M45" si="27">SUM(C37:L37)</f>
        <v>152650</v>
      </c>
      <c r="N37" s="84"/>
      <c r="O37" s="68"/>
    </row>
    <row r="38" spans="1:15" s="69" customFormat="1">
      <c r="A38" s="272" t="s">
        <v>291</v>
      </c>
      <c r="B38" s="273"/>
      <c r="C38" s="159">
        <f>'[16]2. Overall com progres June 13'!C38</f>
        <v>1637</v>
      </c>
      <c r="D38" s="159">
        <f>'[15]2. Overall com progres June 13'!D38</f>
        <v>3576</v>
      </c>
      <c r="E38" s="169">
        <f>'[5]2. Overall cum progress March14'!E38</f>
        <v>1170</v>
      </c>
      <c r="F38" s="169">
        <f>'[17]2. Overall cum progress March14'!F38</f>
        <v>607</v>
      </c>
      <c r="G38" s="169">
        <f>'[3]2. Overall cum progress March14'!G38</f>
        <v>28581</v>
      </c>
      <c r="H38" s="131">
        <f>'[13]2. Overall com progres Sep-13'!H38</f>
        <v>6433</v>
      </c>
      <c r="I38" s="156">
        <v>16</v>
      </c>
      <c r="J38" s="169">
        <f>'[18]2. Overall cum progress March14'!J38</f>
        <v>39606</v>
      </c>
      <c r="K38" s="169">
        <f>'[7]2. Overall cum progress March14'!K38</f>
        <v>8326</v>
      </c>
      <c r="L38" s="169">
        <f>'[11]2. Overall cum progress March14'!L38</f>
        <v>59315</v>
      </c>
      <c r="M38" s="159">
        <f t="shared" si="27"/>
        <v>149267</v>
      </c>
      <c r="N38" s="84"/>
      <c r="O38" s="68"/>
    </row>
    <row r="39" spans="1:15" s="70" customFormat="1">
      <c r="A39" s="272" t="s">
        <v>22</v>
      </c>
      <c r="B39" s="273"/>
      <c r="C39" s="159">
        <f>'[16]2. Overall com progres June 13'!C39</f>
        <v>100347</v>
      </c>
      <c r="D39" s="159">
        <f>'[15]2. Overall com progres June 13'!D39</f>
        <v>284440</v>
      </c>
      <c r="E39" s="169">
        <f>'[5]2. Overall cum progress March14'!E39</f>
        <v>109647</v>
      </c>
      <c r="F39" s="169">
        <f>'[17]2. Overall cum progress March14'!F39</f>
        <v>22705</v>
      </c>
      <c r="G39" s="169">
        <f>'[3]2. Overall cum progress March14'!G39</f>
        <v>1294407</v>
      </c>
      <c r="H39" s="131">
        <f>'[13]2. Overall com progres Sep-13'!H39</f>
        <v>674798</v>
      </c>
      <c r="I39" s="156">
        <v>0</v>
      </c>
      <c r="J39" s="169">
        <f>'[18]2. Overall cum progress March14'!J39</f>
        <v>230592</v>
      </c>
      <c r="K39" s="169">
        <f>'[7]2. Overall cum progress March14'!K39</f>
        <v>1662068</v>
      </c>
      <c r="L39" s="169">
        <f>'[11]2. Overall cum progress March14'!L39</f>
        <v>408180</v>
      </c>
      <c r="M39" s="159">
        <f t="shared" si="27"/>
        <v>4787184</v>
      </c>
      <c r="N39" s="67">
        <f>M39/1000000</f>
        <v>4.7871839999999999</v>
      </c>
      <c r="O39" s="68">
        <f>476*15</f>
        <v>7140</v>
      </c>
    </row>
    <row r="40" spans="1:15" s="70" customFormat="1">
      <c r="A40" s="274" t="s">
        <v>237</v>
      </c>
      <c r="B40" s="275"/>
      <c r="C40" s="159">
        <f>'[16]2. Overall com progres June 13'!C40</f>
        <v>100347</v>
      </c>
      <c r="D40" s="159">
        <f>'[15]2. Overall com progres June 13'!D40</f>
        <v>284440</v>
      </c>
      <c r="E40" s="169">
        <f>'[5]2. Overall cum progress March14'!E40</f>
        <v>83858</v>
      </c>
      <c r="F40" s="169">
        <f>'[17]2. Overall cum progress March14'!F40</f>
        <v>22065</v>
      </c>
      <c r="G40" s="169">
        <f>'[3]2. Overall cum progress March14'!G40</f>
        <v>1207373</v>
      </c>
      <c r="H40" s="131">
        <f>'[13]2. Overall com progres Sep-13'!H40</f>
        <v>674798</v>
      </c>
      <c r="I40" s="156">
        <v>0</v>
      </c>
      <c r="J40" s="169">
        <f>'[18]2. Overall cum progress March14'!J40</f>
        <v>230592</v>
      </c>
      <c r="K40" s="169">
        <f>'[7]2. Overall cum progress March14'!K40</f>
        <v>1607055</v>
      </c>
      <c r="L40" s="169">
        <f>'[11]2. Overall cum progress March14'!L40</f>
        <v>386075</v>
      </c>
      <c r="M40" s="159">
        <f t="shared" si="27"/>
        <v>4596603</v>
      </c>
      <c r="N40" s="67"/>
      <c r="O40" s="68"/>
    </row>
    <row r="41" spans="1:15" s="71" customFormat="1">
      <c r="A41" s="276" t="s">
        <v>292</v>
      </c>
      <c r="B41" s="277"/>
      <c r="C41" s="159">
        <f>'[16]2. Overall com progres June 13'!C41</f>
        <v>635.803</v>
      </c>
      <c r="D41" s="159">
        <f>'[15]2. Overall com progres June 13'!D41</f>
        <v>1825.46</v>
      </c>
      <c r="E41" s="169">
        <f>'[5]2. Overall cum progress March14'!E41</f>
        <v>753.11</v>
      </c>
      <c r="F41" s="169">
        <f>'[17]2. Overall cum progress March14'!F41</f>
        <v>245</v>
      </c>
      <c r="G41" s="169">
        <f>'[3]2. Overall cum progress March14'!G41</f>
        <v>7427.7966050000005</v>
      </c>
      <c r="H41" s="131">
        <f>'[13]2. Overall com progres Sep-13'!H41</f>
        <v>1675.181</v>
      </c>
      <c r="I41" s="156">
        <v>0</v>
      </c>
      <c r="J41" s="169">
        <f>'[18]2. Overall cum progress March14'!J41</f>
        <v>2596</v>
      </c>
      <c r="K41" s="169">
        <f>'[7]2. Overall cum progress March14'!K41</f>
        <v>4981</v>
      </c>
      <c r="L41" s="169">
        <f>'[11]2. Overall cum progress March14'!L41</f>
        <v>975.58499999999992</v>
      </c>
      <c r="M41" s="159">
        <f t="shared" si="27"/>
        <v>21114.935604999999</v>
      </c>
      <c r="N41" s="84">
        <f>M41/90</f>
        <v>234.6103956111111</v>
      </c>
      <c r="O41" s="117">
        <f>M41/85</f>
        <v>248.41100711764705</v>
      </c>
    </row>
    <row r="42" spans="1:15" s="71" customFormat="1">
      <c r="A42" s="278" t="s">
        <v>293</v>
      </c>
      <c r="B42" s="279"/>
      <c r="C42" s="159">
        <f>'[16]2. Overall com progres June 13'!C42</f>
        <v>635.803</v>
      </c>
      <c r="D42" s="159">
        <f>'[15]2. Overall com progres June 13'!D42</f>
        <v>1825.46</v>
      </c>
      <c r="E42" s="169">
        <f>'[5]2. Overall cum progress March14'!E42</f>
        <v>595.16999999999996</v>
      </c>
      <c r="F42" s="169">
        <f>'[17]2. Overall cum progress March14'!F42</f>
        <v>220</v>
      </c>
      <c r="G42" s="169">
        <f>'[3]2. Overall cum progress March14'!G42</f>
        <v>6517.564069</v>
      </c>
      <c r="H42" s="131">
        <f>'[13]2. Overall com progres Sep-13'!H42</f>
        <v>1675.181</v>
      </c>
      <c r="I42" s="156">
        <v>20</v>
      </c>
      <c r="J42" s="169">
        <f>'[18]2. Overall cum progress March14'!J42</f>
        <v>2596</v>
      </c>
      <c r="K42" s="169">
        <f>'[7]2. Overall cum progress March14'!K42</f>
        <v>4210</v>
      </c>
      <c r="L42" s="169">
        <f>'[11]2. Overall cum progress March14'!L42</f>
        <v>919.56399999999996</v>
      </c>
      <c r="M42" s="159">
        <f t="shared" si="27"/>
        <v>19214.742069</v>
      </c>
      <c r="N42" s="84"/>
      <c r="O42" s="117"/>
    </row>
    <row r="43" spans="1:15" s="72" customFormat="1">
      <c r="A43" s="280" t="s">
        <v>23</v>
      </c>
      <c r="B43" s="281" t="s">
        <v>24</v>
      </c>
      <c r="C43" s="159">
        <f>'[16]2. Overall com progres June 13'!C43</f>
        <v>355</v>
      </c>
      <c r="D43" s="159">
        <f>'[15]2. Overall com progres June 13'!D43</f>
        <v>867</v>
      </c>
      <c r="E43" s="169">
        <f>'[5]2. Overall cum progress March14'!E43</f>
        <v>141</v>
      </c>
      <c r="F43" s="169">
        <f>'[17]2. Overall cum progress March14'!F43</f>
        <v>3</v>
      </c>
      <c r="G43" s="169">
        <f>'[3]2. Overall cum progress March14'!G43</f>
        <v>545</v>
      </c>
      <c r="H43" s="131">
        <f>'[13]2. Overall com progres Sep-13'!H43</f>
        <v>191</v>
      </c>
      <c r="I43" s="156">
        <v>25</v>
      </c>
      <c r="J43" s="169">
        <f>'[18]2. Overall cum progress March14'!J43</f>
        <v>2</v>
      </c>
      <c r="K43" s="169">
        <f>'[7]2. Overall cum progress March14'!K43</f>
        <v>89</v>
      </c>
      <c r="L43" s="169">
        <f>'[11]2. Overall cum progress March14'!L43</f>
        <v>113</v>
      </c>
      <c r="M43" s="159">
        <f t="shared" si="27"/>
        <v>2331</v>
      </c>
      <c r="N43" s="84"/>
      <c r="O43" s="68"/>
    </row>
    <row r="44" spans="1:15" s="63" customFormat="1">
      <c r="A44" s="259" t="s">
        <v>25</v>
      </c>
      <c r="B44" s="64" t="s">
        <v>24</v>
      </c>
      <c r="C44" s="159">
        <f>'[16]2. Overall com progres June 13'!C44</f>
        <v>11370</v>
      </c>
      <c r="D44" s="159">
        <f>'[15]2. Overall com progres June 13'!D44</f>
        <v>2900</v>
      </c>
      <c r="E44" s="169">
        <f>'[5]2. Overall cum progress March14'!E44</f>
        <v>4453</v>
      </c>
      <c r="F44" s="169">
        <f>'[17]2. Overall cum progress March14'!F44</f>
        <v>780</v>
      </c>
      <c r="G44" s="169">
        <f>'[3]2. Overall cum progress March14'!G44</f>
        <v>9852</v>
      </c>
      <c r="H44" s="131">
        <f>'[13]2. Overall com progres Sep-13'!H44</f>
        <v>6068</v>
      </c>
      <c r="I44" s="156">
        <v>3526</v>
      </c>
      <c r="J44" s="169">
        <f>'[18]2. Overall cum progress March14'!J44</f>
        <v>25</v>
      </c>
      <c r="K44" s="169">
        <f>'[7]2. Overall cum progress March14'!K44</f>
        <v>2125</v>
      </c>
      <c r="L44" s="169">
        <f>'[11]2. Overall cum progress March14'!L44</f>
        <v>1947</v>
      </c>
      <c r="M44" s="159">
        <f t="shared" si="27"/>
        <v>43046</v>
      </c>
      <c r="N44" s="84"/>
      <c r="O44" s="68"/>
    </row>
    <row r="45" spans="1:15" s="63" customFormat="1">
      <c r="A45" s="259"/>
      <c r="B45" s="65" t="s">
        <v>26</v>
      </c>
      <c r="C45" s="159">
        <f>'[16]2. Overall com progres June 13'!C45</f>
        <v>9922</v>
      </c>
      <c r="D45" s="159">
        <f>'[15]2. Overall com progres June 13'!D45</f>
        <v>7375</v>
      </c>
      <c r="E45" s="169">
        <f>'[5]2. Overall cum progress March14'!E45</f>
        <v>5543</v>
      </c>
      <c r="F45" s="169">
        <f>'[17]2. Overall cum progress March14'!F45</f>
        <v>608</v>
      </c>
      <c r="G45" s="169">
        <f>'[3]2. Overall cum progress March14'!G45</f>
        <v>10537</v>
      </c>
      <c r="H45" s="131">
        <f>'[13]2. Overall com progres Sep-13'!H45</f>
        <v>4854</v>
      </c>
      <c r="I45" s="156">
        <v>5110</v>
      </c>
      <c r="J45" s="169">
        <f>'[18]2. Overall cum progress March14'!J45</f>
        <v>55</v>
      </c>
      <c r="K45" s="169">
        <f>'[7]2. Overall cum progress March14'!K45</f>
        <v>3046</v>
      </c>
      <c r="L45" s="169">
        <f>'[11]2. Overall cum progress March14'!L45</f>
        <v>707</v>
      </c>
      <c r="M45" s="159">
        <f t="shared" si="27"/>
        <v>47757</v>
      </c>
      <c r="N45" s="84"/>
      <c r="O45" s="68"/>
    </row>
    <row r="46" spans="1:15" s="63" customFormat="1">
      <c r="A46" s="259"/>
      <c r="B46" s="66" t="s">
        <v>16</v>
      </c>
      <c r="C46" s="160">
        <f>SUM(C44:C45)</f>
        <v>21292</v>
      </c>
      <c r="D46" s="160">
        <f t="shared" ref="D46:M46" si="28">SUM(D44:D45)</f>
        <v>10275</v>
      </c>
      <c r="E46" s="224">
        <v>9996</v>
      </c>
      <c r="F46" s="160">
        <f t="shared" ref="F46:G46" si="29">SUM(F44:F45)</f>
        <v>1388</v>
      </c>
      <c r="G46" s="160">
        <f t="shared" si="29"/>
        <v>20389</v>
      </c>
      <c r="H46" s="160">
        <f>SUM(H44:H45)</f>
        <v>10922</v>
      </c>
      <c r="I46" s="160">
        <f t="shared" si="28"/>
        <v>8636</v>
      </c>
      <c r="J46" s="160">
        <f t="shared" si="28"/>
        <v>80</v>
      </c>
      <c r="K46" s="160">
        <f t="shared" si="28"/>
        <v>5171</v>
      </c>
      <c r="L46" s="160">
        <f t="shared" ref="L46" si="30">SUM(L44:L45)</f>
        <v>2654</v>
      </c>
      <c r="M46" s="160">
        <f t="shared" si="28"/>
        <v>90803</v>
      </c>
      <c r="N46" s="85">
        <f>M44/M46%</f>
        <v>47.405922711804678</v>
      </c>
      <c r="O46" s="68"/>
    </row>
    <row r="47" spans="1:15" s="63" customFormat="1">
      <c r="A47" s="282" t="s">
        <v>294</v>
      </c>
      <c r="B47" s="64" t="s">
        <v>17</v>
      </c>
      <c r="C47" s="159">
        <f>'[16]2. Overall com progres June 13'!C47</f>
        <v>0</v>
      </c>
      <c r="D47" s="159">
        <f>'[15]2. Overall com progres June 13'!D47</f>
        <v>0</v>
      </c>
      <c r="E47" s="169">
        <f>'[5]2. Overall cum progress March14'!E47</f>
        <v>0</v>
      </c>
      <c r="F47" s="169">
        <f>'[17]2. Overall cum progress March14'!F47</f>
        <v>0</v>
      </c>
      <c r="G47" s="169">
        <f>'[3]2. Overall cum progress March14'!G47</f>
        <v>22888</v>
      </c>
      <c r="H47" s="131">
        <f>'[13]2. Overall com progres Sep-13'!H47</f>
        <v>0</v>
      </c>
      <c r="I47" s="156"/>
      <c r="J47" s="169">
        <f>'[18]2. Overall cum progress March14'!J47</f>
        <v>0</v>
      </c>
      <c r="K47" s="169">
        <f>'[7]2. Overall cum progress March14'!K47</f>
        <v>3346</v>
      </c>
      <c r="L47" s="169">
        <f>'[11]2. Overall cum progress March14'!L47</f>
        <v>0</v>
      </c>
      <c r="M47" s="159">
        <f>SUM(C47:L47)</f>
        <v>26234</v>
      </c>
      <c r="N47" s="84"/>
      <c r="O47" s="68"/>
    </row>
    <row r="48" spans="1:15" s="63" customFormat="1">
      <c r="A48" s="282"/>
      <c r="B48" s="65" t="s">
        <v>18</v>
      </c>
      <c r="C48" s="159">
        <f>'[16]2. Overall com progres June 13'!C48</f>
        <v>0</v>
      </c>
      <c r="D48" s="159">
        <f>'[15]2. Overall com progres June 13'!D48</f>
        <v>0</v>
      </c>
      <c r="E48" s="169">
        <f>'[5]2. Overall cum progress March14'!E48</f>
        <v>0</v>
      </c>
      <c r="F48" s="169">
        <f>'[17]2. Overall cum progress March14'!F48</f>
        <v>0</v>
      </c>
      <c r="G48" s="169">
        <f>'[3]2. Overall cum progress March14'!G48</f>
        <v>2494</v>
      </c>
      <c r="H48" s="131">
        <f>'[13]2. Overall com progres Sep-13'!H48</f>
        <v>0</v>
      </c>
      <c r="I48" s="156"/>
      <c r="J48" s="169">
        <f>'[18]2. Overall cum progress March14'!J48</f>
        <v>0</v>
      </c>
      <c r="K48" s="169">
        <f>'[7]2. Overall cum progress March14'!K48</f>
        <v>722</v>
      </c>
      <c r="L48" s="169">
        <f>'[11]2. Overall cum progress March14'!L48</f>
        <v>0</v>
      </c>
      <c r="M48" s="159">
        <f>SUM(C48:L48)</f>
        <v>3216</v>
      </c>
      <c r="N48" s="84"/>
      <c r="O48" s="68"/>
    </row>
    <row r="49" spans="1:15" s="63" customFormat="1">
      <c r="A49" s="282"/>
      <c r="B49" s="66" t="s">
        <v>16</v>
      </c>
      <c r="C49" s="160">
        <f>SUM(C47:C48)</f>
        <v>0</v>
      </c>
      <c r="D49" s="160">
        <f t="shared" ref="D49:M49" si="31">SUM(D47:D48)</f>
        <v>0</v>
      </c>
      <c r="E49" s="224">
        <v>0</v>
      </c>
      <c r="F49" s="160">
        <f t="shared" ref="F49:G49" si="32">SUM(F47:F48)</f>
        <v>0</v>
      </c>
      <c r="G49" s="160">
        <f t="shared" si="32"/>
        <v>25382</v>
      </c>
      <c r="H49" s="160">
        <f>SUM(H47:H48)</f>
        <v>0</v>
      </c>
      <c r="I49" s="160">
        <f t="shared" si="31"/>
        <v>0</v>
      </c>
      <c r="J49" s="160">
        <f t="shared" si="31"/>
        <v>0</v>
      </c>
      <c r="K49" s="160">
        <f t="shared" si="31"/>
        <v>4068</v>
      </c>
      <c r="L49" s="160">
        <f t="shared" ref="L49" si="33">SUM(L47:L48)</f>
        <v>0</v>
      </c>
      <c r="M49" s="160">
        <f t="shared" si="31"/>
        <v>29450</v>
      </c>
      <c r="N49" s="84"/>
      <c r="O49" s="68"/>
    </row>
    <row r="50" spans="1:15" s="63" customFormat="1">
      <c r="A50" s="259" t="s">
        <v>295</v>
      </c>
      <c r="B50" s="64" t="s">
        <v>17</v>
      </c>
      <c r="C50" s="159">
        <f>'[16]2. Overall com progres June 13'!C50</f>
        <v>31</v>
      </c>
      <c r="D50" s="159">
        <f>'[15]2. Overall com progres June 13'!D50</f>
        <v>1243</v>
      </c>
      <c r="E50" s="169">
        <f>'[5]2. Overall cum progress March14'!E50</f>
        <v>1688</v>
      </c>
      <c r="F50" s="169">
        <f>'[17]2. Overall cum progress March14'!F50</f>
        <v>95</v>
      </c>
      <c r="G50" s="169">
        <f>'[3]2. Overall cum progress March14'!G50</f>
        <v>3153</v>
      </c>
      <c r="H50" s="131">
        <f>'[13]2. Overall com progres Sep-13'!H50</f>
        <v>8442</v>
      </c>
      <c r="I50" s="156">
        <v>410</v>
      </c>
      <c r="J50" s="169">
        <f>'[18]2. Overall cum progress March14'!J50</f>
        <v>4777</v>
      </c>
      <c r="K50" s="169">
        <f>'[7]2. Overall cum progress March14'!K50</f>
        <v>1066</v>
      </c>
      <c r="L50" s="169">
        <f>'[11]2. Overall cum progress March14'!L50</f>
        <v>867</v>
      </c>
      <c r="M50" s="159">
        <f>SUM(C50:L50)</f>
        <v>21772</v>
      </c>
      <c r="N50" s="84"/>
      <c r="O50" s="68"/>
    </row>
    <row r="51" spans="1:15" s="63" customFormat="1">
      <c r="A51" s="259"/>
      <c r="B51" s="65" t="s">
        <v>18</v>
      </c>
      <c r="C51" s="159">
        <f>'[16]2. Overall com progres June 13'!C51</f>
        <v>0</v>
      </c>
      <c r="D51" s="159">
        <f>'[15]2. Overall com progres June 13'!D51</f>
        <v>0</v>
      </c>
      <c r="E51" s="169">
        <f>'[5]2. Overall cum progress March14'!E51</f>
        <v>0</v>
      </c>
      <c r="F51" s="169">
        <f>'[17]2. Overall cum progress March14'!F51</f>
        <v>0</v>
      </c>
      <c r="G51" s="169">
        <f>'[3]2. Overall cum progress March14'!G51</f>
        <v>0</v>
      </c>
      <c r="H51" s="131">
        <f>'[13]2. Overall com progres Sep-13'!H51</f>
        <v>1770</v>
      </c>
      <c r="I51" s="156"/>
      <c r="J51" s="169">
        <f>'[18]2. Overall cum progress March14'!J51</f>
        <v>0</v>
      </c>
      <c r="K51" s="169">
        <f>'[7]2. Overall cum progress March14'!K51</f>
        <v>467</v>
      </c>
      <c r="L51" s="169">
        <f>'[11]2. Overall cum progress March14'!L51</f>
        <v>675</v>
      </c>
      <c r="M51" s="159">
        <f>SUM(C51:L51)</f>
        <v>2912</v>
      </c>
      <c r="N51" s="84"/>
      <c r="O51" s="68"/>
    </row>
    <row r="52" spans="1:15" s="63" customFormat="1" ht="13.5" thickBot="1">
      <c r="A52" s="270"/>
      <c r="B52" s="73" t="s">
        <v>16</v>
      </c>
      <c r="C52" s="160">
        <f t="shared" ref="C52:M52" si="34">SUM(C50:C51)</f>
        <v>31</v>
      </c>
      <c r="D52" s="160">
        <f t="shared" si="34"/>
        <v>1243</v>
      </c>
      <c r="E52" s="224">
        <v>1688</v>
      </c>
      <c r="F52" s="160">
        <f t="shared" ref="F52:G52" si="35">SUM(F50:F51)</f>
        <v>95</v>
      </c>
      <c r="G52" s="160">
        <f t="shared" si="35"/>
        <v>3153</v>
      </c>
      <c r="H52" s="160">
        <f>SUM(H50:H51)</f>
        <v>10212</v>
      </c>
      <c r="I52" s="160">
        <f t="shared" si="34"/>
        <v>410</v>
      </c>
      <c r="J52" s="160">
        <f t="shared" si="34"/>
        <v>4777</v>
      </c>
      <c r="K52" s="160">
        <f t="shared" si="34"/>
        <v>1533</v>
      </c>
      <c r="L52" s="160">
        <f t="shared" ref="L52" si="36">SUM(L50:L51)</f>
        <v>1542</v>
      </c>
      <c r="M52" s="160">
        <f t="shared" si="34"/>
        <v>24684</v>
      </c>
      <c r="N52" s="84"/>
      <c r="O52" s="68"/>
    </row>
    <row r="53" spans="1:15">
      <c r="A53" s="74" t="s">
        <v>321</v>
      </c>
      <c r="E53" s="101"/>
      <c r="G53" s="129"/>
      <c r="H53" s="118"/>
      <c r="I53" s="156"/>
      <c r="K53" s="159"/>
      <c r="L53" s="131"/>
    </row>
    <row r="54" spans="1:15">
      <c r="A54" s="74" t="s">
        <v>322</v>
      </c>
      <c r="E54" s="101"/>
      <c r="G54" s="74"/>
      <c r="H54" s="118"/>
    </row>
    <row r="55" spans="1:15">
      <c r="A55" s="219" t="s">
        <v>270</v>
      </c>
      <c r="E55" s="101"/>
    </row>
    <row r="56" spans="1:15">
      <c r="E56" s="101"/>
    </row>
    <row r="57" spans="1:15">
      <c r="E57" s="159"/>
    </row>
  </sheetData>
  <mergeCells count="24"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</mergeCells>
  <printOptions horizontalCentered="1" verticalCentered="1"/>
  <pageMargins left="0.2" right="0.21" top="0.2" bottom="0.16" header="0.17" footer="0.16"/>
  <pageSetup paperSize="9"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>
    <tabColor rgb="FFFF0000"/>
  </sheetPr>
  <dimension ref="A1:T259"/>
  <sheetViews>
    <sheetView view="pageBreakPreview" zoomScale="73" zoomScaleNormal="87" zoomScaleSheetLayoutView="73" workbookViewId="0">
      <pane xSplit="2" ySplit="3" topLeftCell="G187" activePane="bottomRight" state="frozen"/>
      <selection activeCell="G51" sqref="G51"/>
      <selection pane="topRight" activeCell="G51" sqref="G51"/>
      <selection pane="bottomLeft" activeCell="G51" sqref="G51"/>
      <selection pane="bottomRight" activeCell="P45" sqref="P45"/>
    </sheetView>
  </sheetViews>
  <sheetFormatPr defaultRowHeight="15"/>
  <cols>
    <col min="1" max="1" width="6.42578125" style="2" customWidth="1"/>
    <col min="2" max="2" width="28.85546875" style="1" bestFit="1" customWidth="1"/>
    <col min="3" max="3" width="17.7109375" style="3" customWidth="1"/>
    <col min="4" max="5" width="15.5703125" style="3" customWidth="1"/>
    <col min="6" max="6" width="17.7109375" style="3" customWidth="1"/>
    <col min="7" max="7" width="15.5703125" style="3" customWidth="1"/>
    <col min="8" max="9" width="15.5703125" style="137" customWidth="1"/>
    <col min="10" max="10" width="20.85546875" style="11" customWidth="1"/>
    <col min="11" max="14" width="15.5703125" style="9" customWidth="1"/>
    <col min="15" max="17" width="15.5703125" style="11" customWidth="1"/>
    <col min="18" max="18" width="13" style="3" bestFit="1" customWidth="1"/>
    <col min="19" max="16384" width="9.140625" style="1"/>
  </cols>
  <sheetData>
    <row r="1" spans="1:19" thickBot="1">
      <c r="A1" s="249" t="s">
        <v>312</v>
      </c>
      <c r="B1" s="249"/>
      <c r="C1" s="249"/>
      <c r="D1" s="249"/>
      <c r="E1" s="249"/>
      <c r="F1" s="249"/>
      <c r="G1" s="249"/>
      <c r="H1" s="250"/>
      <c r="I1" s="250"/>
      <c r="J1" s="249"/>
      <c r="K1" s="249"/>
      <c r="L1" s="249"/>
      <c r="M1" s="249"/>
      <c r="N1" s="249"/>
      <c r="O1" s="249"/>
      <c r="P1" s="249"/>
      <c r="Q1" s="249"/>
      <c r="R1" s="249"/>
    </row>
    <row r="2" spans="1:19" ht="53.25" customHeight="1">
      <c r="A2" s="251" t="s">
        <v>27</v>
      </c>
      <c r="B2" s="253" t="s">
        <v>28</v>
      </c>
      <c r="C2" s="253" t="s">
        <v>199</v>
      </c>
      <c r="D2" s="245" t="s">
        <v>240</v>
      </c>
      <c r="E2" s="245"/>
      <c r="F2" s="245"/>
      <c r="G2" s="246"/>
      <c r="H2" s="257" t="s">
        <v>275</v>
      </c>
      <c r="I2" s="257" t="s">
        <v>315</v>
      </c>
      <c r="J2" s="253" t="s">
        <v>30</v>
      </c>
      <c r="K2" s="245" t="s">
        <v>241</v>
      </c>
      <c r="L2" s="245"/>
      <c r="M2" s="245"/>
      <c r="N2" s="246"/>
      <c r="O2" s="253" t="s">
        <v>276</v>
      </c>
      <c r="P2" s="253"/>
      <c r="Q2" s="253"/>
      <c r="R2" s="255" t="s">
        <v>29</v>
      </c>
    </row>
    <row r="3" spans="1:19" ht="49.5" customHeight="1" thickBot="1">
      <c r="A3" s="252"/>
      <c r="B3" s="254"/>
      <c r="C3" s="254"/>
      <c r="D3" s="133" t="s">
        <v>274</v>
      </c>
      <c r="E3" s="133" t="s">
        <v>313</v>
      </c>
      <c r="F3" s="87" t="s">
        <v>219</v>
      </c>
      <c r="G3" s="87" t="s">
        <v>314</v>
      </c>
      <c r="H3" s="258"/>
      <c r="I3" s="258"/>
      <c r="J3" s="254"/>
      <c r="K3" s="133" t="s">
        <v>274</v>
      </c>
      <c r="L3" s="133" t="s">
        <v>313</v>
      </c>
      <c r="M3" s="87" t="s">
        <v>219</v>
      </c>
      <c r="N3" s="87" t="s">
        <v>314</v>
      </c>
      <c r="O3" s="133" t="s">
        <v>274</v>
      </c>
      <c r="P3" s="133" t="s">
        <v>313</v>
      </c>
      <c r="Q3" s="87" t="s">
        <v>219</v>
      </c>
      <c r="R3" s="256"/>
      <c r="S3" s="1">
        <v>1</v>
      </c>
    </row>
    <row r="4" spans="1:19" ht="6.75" customHeight="1">
      <c r="A4" s="12"/>
      <c r="B4" s="13"/>
      <c r="C4" s="14"/>
      <c r="D4" s="14"/>
      <c r="E4" s="14"/>
      <c r="F4" s="14"/>
      <c r="G4" s="14"/>
      <c r="H4" s="14"/>
      <c r="I4" s="14"/>
      <c r="J4" s="15"/>
      <c r="K4" s="16"/>
      <c r="L4" s="16"/>
      <c r="M4" s="16"/>
      <c r="N4" s="16"/>
      <c r="O4" s="15"/>
      <c r="P4" s="15"/>
      <c r="Q4" s="15"/>
      <c r="R4" s="14"/>
      <c r="S4" s="1">
        <v>1</v>
      </c>
    </row>
    <row r="5" spans="1:19" ht="21.75" hidden="1" customHeight="1">
      <c r="A5" s="17" t="s">
        <v>31</v>
      </c>
      <c r="B5" s="18"/>
      <c r="C5" s="19"/>
      <c r="D5" s="19"/>
      <c r="E5" s="19"/>
      <c r="F5" s="19"/>
      <c r="G5" s="19"/>
      <c r="H5" s="19"/>
      <c r="I5" s="19"/>
      <c r="J5" s="19"/>
      <c r="K5" s="20"/>
      <c r="L5" s="20"/>
      <c r="M5" s="20"/>
      <c r="N5" s="20"/>
      <c r="O5" s="19"/>
      <c r="P5" s="19"/>
      <c r="Q5" s="19"/>
      <c r="R5" s="21"/>
      <c r="S5" s="1">
        <v>1</v>
      </c>
    </row>
    <row r="6" spans="1:19" ht="15" hidden="1" customHeight="1" thickBot="1">
      <c r="A6" s="36">
        <v>1</v>
      </c>
      <c r="B6" s="37" t="s">
        <v>32</v>
      </c>
      <c r="C6" s="38">
        <v>12</v>
      </c>
      <c r="D6" s="38">
        <f>'[2]1.RSP Districts '!D6</f>
        <v>12</v>
      </c>
      <c r="E6" s="38"/>
      <c r="F6" s="134">
        <f>(E6-D6)/D6%</f>
        <v>-100</v>
      </c>
      <c r="G6" s="134">
        <f>E6/C6%</f>
        <v>0</v>
      </c>
      <c r="H6" s="38">
        <f>'[2]1.RSP Districts '!H6</f>
        <v>722</v>
      </c>
      <c r="I6" s="38"/>
      <c r="J6" s="38">
        <v>43884</v>
      </c>
      <c r="K6" s="38">
        <v>26254</v>
      </c>
      <c r="L6" s="38"/>
      <c r="M6" s="134">
        <f>(L6-K6)/K6%</f>
        <v>-99.999999999999986</v>
      </c>
      <c r="N6" s="134">
        <f>L6/J6%</f>
        <v>0</v>
      </c>
      <c r="O6" s="38">
        <v>1597</v>
      </c>
      <c r="P6" s="38"/>
      <c r="Q6" s="134">
        <f>(P6-O6)/O6%</f>
        <v>-100</v>
      </c>
      <c r="R6" s="155" t="s">
        <v>5</v>
      </c>
      <c r="S6" s="1">
        <v>1</v>
      </c>
    </row>
    <row r="7" spans="1:19" s="4" customFormat="1" ht="15.75" hidden="1" customHeight="1" thickBot="1">
      <c r="A7" s="152">
        <f>A6</f>
        <v>1</v>
      </c>
      <c r="B7" s="154" t="s">
        <v>33</v>
      </c>
      <c r="C7" s="56">
        <f>C6</f>
        <v>12</v>
      </c>
      <c r="D7" s="56">
        <f>D6</f>
        <v>12</v>
      </c>
      <c r="E7" s="56">
        <f>E6</f>
        <v>0</v>
      </c>
      <c r="F7" s="151">
        <f>(E7-D7)/D7%</f>
        <v>-100</v>
      </c>
      <c r="G7" s="151">
        <f>E7/C7%</f>
        <v>0</v>
      </c>
      <c r="H7" s="151">
        <f>H6</f>
        <v>722</v>
      </c>
      <c r="I7" s="151">
        <f>I6</f>
        <v>0</v>
      </c>
      <c r="J7" s="56">
        <f>J6</f>
        <v>43884</v>
      </c>
      <c r="K7" s="56">
        <f>K6</f>
        <v>26254</v>
      </c>
      <c r="L7" s="56">
        <f>L6</f>
        <v>0</v>
      </c>
      <c r="M7" s="151">
        <f>(L7-K7)/K7%</f>
        <v>-99.999999999999986</v>
      </c>
      <c r="N7" s="151">
        <f>L7/J7%</f>
        <v>0</v>
      </c>
      <c r="O7" s="56">
        <f>O6</f>
        <v>1597</v>
      </c>
      <c r="P7" s="56">
        <f>P6</f>
        <v>0</v>
      </c>
      <c r="Q7" s="151">
        <f>(P7-O7)/O7%</f>
        <v>-100</v>
      </c>
      <c r="R7" s="153"/>
      <c r="S7" s="1">
        <v>1</v>
      </c>
    </row>
    <row r="8" spans="1:19" ht="4.5" hidden="1" customHeight="1" thickBot="1">
      <c r="A8" s="12"/>
      <c r="B8" s="13"/>
      <c r="C8" s="58"/>
      <c r="D8" s="27"/>
      <c r="E8" s="27"/>
      <c r="F8" s="103"/>
      <c r="G8" s="103"/>
      <c r="H8" s="103"/>
      <c r="I8" s="103"/>
      <c r="J8" s="58"/>
      <c r="K8" s="27"/>
      <c r="L8" s="27"/>
      <c r="M8" s="27"/>
      <c r="N8" s="27"/>
      <c r="O8" s="27"/>
      <c r="P8" s="27"/>
      <c r="Q8" s="27"/>
      <c r="R8" s="14"/>
      <c r="S8" s="1">
        <v>1</v>
      </c>
    </row>
    <row r="9" spans="1:19" ht="14.25" hidden="1" customHeight="1">
      <c r="A9" s="17" t="s">
        <v>34</v>
      </c>
      <c r="B9" s="18"/>
      <c r="C9" s="19"/>
      <c r="D9" s="28"/>
      <c r="E9" s="28"/>
      <c r="F9" s="104"/>
      <c r="G9" s="104"/>
      <c r="H9" s="104"/>
      <c r="I9" s="104"/>
      <c r="J9" s="19"/>
      <c r="K9" s="28"/>
      <c r="L9" s="28"/>
      <c r="M9" s="28"/>
      <c r="N9" s="28"/>
      <c r="O9" s="28"/>
      <c r="P9" s="28"/>
      <c r="Q9" s="28"/>
      <c r="R9" s="21"/>
      <c r="S9" s="1">
        <v>1</v>
      </c>
    </row>
    <row r="10" spans="1:19" ht="14.25" hidden="1" customHeight="1">
      <c r="A10" s="22">
        <v>1</v>
      </c>
      <c r="B10" s="23" t="s">
        <v>35</v>
      </c>
      <c r="C10" s="24">
        <v>8</v>
      </c>
      <c r="D10" s="38">
        <f>'[2]1.RSP Districts '!D10</f>
        <v>8</v>
      </c>
      <c r="E10" s="38"/>
      <c r="F10" s="102">
        <f>(E10-D10)/D10%</f>
        <v>-100</v>
      </c>
      <c r="G10" s="102">
        <f>E10/C10%</f>
        <v>0</v>
      </c>
      <c r="H10" s="38">
        <f>'[2]1.RSP Districts '!H10</f>
        <v>118</v>
      </c>
      <c r="I10" s="38"/>
      <c r="J10" s="24">
        <v>22144</v>
      </c>
      <c r="K10" s="38">
        <f>'[2]1.RSP Districts '!K10</f>
        <v>9890</v>
      </c>
      <c r="L10" s="38"/>
      <c r="M10" s="102">
        <f>(L10-K10)/K10%</f>
        <v>-100</v>
      </c>
      <c r="N10" s="102">
        <f t="shared" ref="N10:N40" si="0">L10/J10%</f>
        <v>0</v>
      </c>
      <c r="O10" s="38">
        <v>598</v>
      </c>
      <c r="P10" s="38"/>
      <c r="Q10" s="102">
        <f t="shared" ref="Q10:Q40" si="1">(P10-O10)/O10%</f>
        <v>-99.999999999999986</v>
      </c>
      <c r="R10" s="26" t="s">
        <v>5</v>
      </c>
      <c r="S10" s="1">
        <v>1</v>
      </c>
    </row>
    <row r="11" spans="1:19" ht="14.25" hidden="1" customHeight="1">
      <c r="A11" s="22">
        <v>2</v>
      </c>
      <c r="B11" s="23" t="s">
        <v>168</v>
      </c>
      <c r="C11" s="24">
        <v>8</v>
      </c>
      <c r="D11" s="38">
        <v>0</v>
      </c>
      <c r="E11" s="38"/>
      <c r="F11" s="102">
        <v>0</v>
      </c>
      <c r="G11" s="102">
        <f t="shared" ref="G11:G40" si="2">E11/C11%</f>
        <v>0</v>
      </c>
      <c r="H11" s="102"/>
      <c r="I11" s="102"/>
      <c r="J11" s="24">
        <v>13787</v>
      </c>
      <c r="K11" s="24"/>
      <c r="L11" s="24"/>
      <c r="M11" s="102" t="e">
        <f t="shared" ref="M11:M40" si="3">(L11-K11)/K11%</f>
        <v>#DIV/0!</v>
      </c>
      <c r="N11" s="102">
        <v>0</v>
      </c>
      <c r="O11" s="24"/>
      <c r="P11" s="25"/>
      <c r="Q11" s="102">
        <v>0</v>
      </c>
      <c r="R11" s="79">
        <v>0</v>
      </c>
      <c r="S11" s="1">
        <v>1</v>
      </c>
    </row>
    <row r="12" spans="1:19" ht="14.25" hidden="1" customHeight="1">
      <c r="A12" s="22">
        <v>3</v>
      </c>
      <c r="B12" s="23" t="s">
        <v>36</v>
      </c>
      <c r="C12" s="24">
        <v>27</v>
      </c>
      <c r="D12" s="38">
        <f>'[4]1.RSP Districts '!D12</f>
        <v>1</v>
      </c>
      <c r="E12" s="38"/>
      <c r="F12" s="102">
        <f t="shared" ref="F12:F40" si="4">(E12-D12)/D12%</f>
        <v>-100</v>
      </c>
      <c r="G12" s="102">
        <f t="shared" si="2"/>
        <v>0</v>
      </c>
      <c r="H12" s="38">
        <f>'[4]1.RSP Districts '!H12</f>
        <v>6</v>
      </c>
      <c r="I12" s="38"/>
      <c r="J12" s="24">
        <v>35003</v>
      </c>
      <c r="K12" s="38">
        <f>'[4]1.RSP Districts '!K12</f>
        <v>2434</v>
      </c>
      <c r="L12" s="38"/>
      <c r="M12" s="102">
        <f t="shared" si="3"/>
        <v>-100</v>
      </c>
      <c r="N12" s="102">
        <f t="shared" si="0"/>
        <v>0</v>
      </c>
      <c r="O12" s="38">
        <v>109</v>
      </c>
      <c r="P12" s="38"/>
      <c r="Q12" s="102">
        <f t="shared" si="1"/>
        <v>-99.999999999999986</v>
      </c>
      <c r="R12" s="26" t="s">
        <v>3</v>
      </c>
      <c r="S12" s="1">
        <v>1</v>
      </c>
    </row>
    <row r="13" spans="1:19" ht="14.25" hidden="1" customHeight="1">
      <c r="A13" s="22">
        <v>4</v>
      </c>
      <c r="B13" s="23" t="s">
        <v>169</v>
      </c>
      <c r="C13" s="24">
        <v>10</v>
      </c>
      <c r="D13" s="38">
        <v>0</v>
      </c>
      <c r="E13" s="38"/>
      <c r="F13" s="102">
        <v>0</v>
      </c>
      <c r="G13" s="102">
        <f t="shared" si="2"/>
        <v>0</v>
      </c>
      <c r="H13" s="102"/>
      <c r="I13" s="102"/>
      <c r="J13" s="164">
        <v>13570</v>
      </c>
      <c r="K13" s="24"/>
      <c r="L13" s="24"/>
      <c r="M13" s="102" t="e">
        <f t="shared" si="3"/>
        <v>#DIV/0!</v>
      </c>
      <c r="N13" s="102">
        <v>0</v>
      </c>
      <c r="O13" s="24"/>
      <c r="P13" s="25"/>
      <c r="Q13" s="102">
        <v>0</v>
      </c>
      <c r="R13" s="79">
        <v>0</v>
      </c>
      <c r="S13" s="1">
        <v>1</v>
      </c>
    </row>
    <row r="14" spans="1:19" ht="14.25" hidden="1" customHeight="1">
      <c r="A14" s="22">
        <v>5</v>
      </c>
      <c r="B14" s="23" t="s">
        <v>170</v>
      </c>
      <c r="C14" s="24">
        <v>12</v>
      </c>
      <c r="D14" s="38">
        <v>0</v>
      </c>
      <c r="E14" s="38"/>
      <c r="F14" s="102">
        <v>0</v>
      </c>
      <c r="G14" s="102">
        <f t="shared" si="2"/>
        <v>0</v>
      </c>
      <c r="H14" s="102"/>
      <c r="I14" s="102"/>
      <c r="J14" s="164">
        <v>27337</v>
      </c>
      <c r="K14" s="24"/>
      <c r="L14" s="24"/>
      <c r="M14" s="102" t="e">
        <f t="shared" si="3"/>
        <v>#DIV/0!</v>
      </c>
      <c r="N14" s="102">
        <v>0</v>
      </c>
      <c r="O14" s="24"/>
      <c r="P14" s="25"/>
      <c r="Q14" s="102">
        <v>0</v>
      </c>
      <c r="R14" s="79">
        <v>0</v>
      </c>
      <c r="S14" s="1">
        <v>1</v>
      </c>
    </row>
    <row r="15" spans="1:19" ht="14.25" hidden="1" customHeight="1">
      <c r="A15" s="22">
        <v>6</v>
      </c>
      <c r="B15" s="23" t="s">
        <v>37</v>
      </c>
      <c r="C15" s="24">
        <v>13</v>
      </c>
      <c r="D15" s="38">
        <f>'[2]1.RSP Districts '!D15</f>
        <v>13</v>
      </c>
      <c r="E15" s="38"/>
      <c r="F15" s="102">
        <f t="shared" si="4"/>
        <v>-100</v>
      </c>
      <c r="G15" s="102">
        <f t="shared" si="2"/>
        <v>0</v>
      </c>
      <c r="H15" s="38">
        <f>'[2]1.RSP Districts '!H15</f>
        <v>144</v>
      </c>
      <c r="I15" s="38"/>
      <c r="J15" s="24">
        <v>16691</v>
      </c>
      <c r="K15" s="38">
        <v>19324</v>
      </c>
      <c r="L15" s="38"/>
      <c r="M15" s="102">
        <f t="shared" si="3"/>
        <v>-100</v>
      </c>
      <c r="N15" s="102">
        <f t="shared" si="0"/>
        <v>0</v>
      </c>
      <c r="O15" s="38">
        <v>863</v>
      </c>
      <c r="P15" s="38"/>
      <c r="Q15" s="102">
        <f t="shared" si="1"/>
        <v>-99.999999999999986</v>
      </c>
      <c r="R15" s="26" t="s">
        <v>5</v>
      </c>
      <c r="S15" s="1">
        <v>1</v>
      </c>
    </row>
    <row r="16" spans="1:19" ht="14.25" hidden="1" customHeight="1">
      <c r="A16" s="22">
        <v>7</v>
      </c>
      <c r="B16" s="23" t="s">
        <v>171</v>
      </c>
      <c r="C16" s="24">
        <v>10</v>
      </c>
      <c r="D16" s="38">
        <v>0</v>
      </c>
      <c r="E16" s="38"/>
      <c r="F16" s="102">
        <v>0</v>
      </c>
      <c r="G16" s="102">
        <f t="shared" si="2"/>
        <v>0</v>
      </c>
      <c r="H16" s="102"/>
      <c r="I16" s="102"/>
      <c r="J16" s="24">
        <v>0</v>
      </c>
      <c r="K16" s="24"/>
      <c r="L16" s="24"/>
      <c r="M16" s="102" t="e">
        <f t="shared" si="3"/>
        <v>#DIV/0!</v>
      </c>
      <c r="N16" s="102">
        <v>0</v>
      </c>
      <c r="O16" s="24"/>
      <c r="P16" s="25"/>
      <c r="Q16" s="102">
        <v>0</v>
      </c>
      <c r="R16" s="79">
        <v>0</v>
      </c>
      <c r="S16" s="1">
        <v>1</v>
      </c>
    </row>
    <row r="17" spans="1:19" ht="14.25" hidden="1" customHeight="1">
      <c r="A17" s="22">
        <v>8</v>
      </c>
      <c r="B17" s="23" t="s">
        <v>38</v>
      </c>
      <c r="C17" s="24">
        <v>9</v>
      </c>
      <c r="D17" s="38">
        <f>'[4]1.RSP Districts '!D17</f>
        <v>9</v>
      </c>
      <c r="E17" s="38"/>
      <c r="F17" s="102">
        <f t="shared" si="4"/>
        <v>-100</v>
      </c>
      <c r="G17" s="102">
        <f t="shared" si="2"/>
        <v>0</v>
      </c>
      <c r="H17" s="38">
        <f>'[4]1.RSP Districts '!H17</f>
        <v>98</v>
      </c>
      <c r="I17" s="38"/>
      <c r="J17" s="24">
        <v>16184</v>
      </c>
      <c r="K17" s="38">
        <f>'[4]1.RSP Districts '!K17</f>
        <v>9708</v>
      </c>
      <c r="L17" s="38"/>
      <c r="M17" s="102">
        <f t="shared" si="3"/>
        <v>-100</v>
      </c>
      <c r="N17" s="102">
        <f t="shared" si="0"/>
        <v>0</v>
      </c>
      <c r="O17" s="38">
        <v>577</v>
      </c>
      <c r="P17" s="38"/>
      <c r="Q17" s="102">
        <f t="shared" si="1"/>
        <v>-100.00000000000001</v>
      </c>
      <c r="R17" s="26" t="s">
        <v>3</v>
      </c>
      <c r="S17" s="1">
        <v>1</v>
      </c>
    </row>
    <row r="18" spans="1:19" ht="14.25" hidden="1" customHeight="1">
      <c r="A18" s="22">
        <v>9</v>
      </c>
      <c r="B18" s="23" t="s">
        <v>39</v>
      </c>
      <c r="C18" s="24">
        <v>46</v>
      </c>
      <c r="D18" s="38">
        <f>'[4]1.RSP Districts '!D18</f>
        <v>29</v>
      </c>
      <c r="E18" s="38"/>
      <c r="F18" s="102">
        <f t="shared" si="4"/>
        <v>-100</v>
      </c>
      <c r="G18" s="102">
        <f t="shared" si="2"/>
        <v>0</v>
      </c>
      <c r="H18" s="38">
        <f>'[4]1.RSP Districts '!H18</f>
        <v>41</v>
      </c>
      <c r="I18" s="38"/>
      <c r="J18" s="24">
        <v>52664</v>
      </c>
      <c r="K18" s="38">
        <f>'[4]1.RSP Districts '!K18</f>
        <v>8739</v>
      </c>
      <c r="L18" s="38"/>
      <c r="M18" s="102">
        <f t="shared" si="3"/>
        <v>-100</v>
      </c>
      <c r="N18" s="102">
        <f t="shared" si="0"/>
        <v>0</v>
      </c>
      <c r="O18" s="38">
        <v>163</v>
      </c>
      <c r="P18" s="38"/>
      <c r="Q18" s="102">
        <f t="shared" si="1"/>
        <v>-100</v>
      </c>
      <c r="R18" s="26" t="s">
        <v>3</v>
      </c>
      <c r="S18" s="1">
        <v>1</v>
      </c>
    </row>
    <row r="19" spans="1:19" ht="14.25" hidden="1" customHeight="1">
      <c r="A19" s="22">
        <v>10</v>
      </c>
      <c r="B19" s="23" t="s">
        <v>40</v>
      </c>
      <c r="C19" s="24">
        <v>18</v>
      </c>
      <c r="D19" s="38">
        <f>'[4]1.RSP Districts '!D19</f>
        <v>15</v>
      </c>
      <c r="E19" s="38"/>
      <c r="F19" s="102">
        <f t="shared" si="4"/>
        <v>-100</v>
      </c>
      <c r="G19" s="102">
        <f t="shared" si="2"/>
        <v>0</v>
      </c>
      <c r="H19" s="38">
        <f>'[4]1.RSP Districts '!H19</f>
        <v>226</v>
      </c>
      <c r="I19" s="38"/>
      <c r="J19" s="24">
        <v>31396</v>
      </c>
      <c r="K19" s="38">
        <f>'[4]1.RSP Districts '!K19</f>
        <v>28829</v>
      </c>
      <c r="L19" s="38"/>
      <c r="M19" s="102">
        <f t="shared" si="3"/>
        <v>-100</v>
      </c>
      <c r="N19" s="102">
        <f t="shared" si="0"/>
        <v>0</v>
      </c>
      <c r="O19" s="38">
        <v>1870</v>
      </c>
      <c r="P19" s="38"/>
      <c r="Q19" s="102">
        <f t="shared" si="1"/>
        <v>-100</v>
      </c>
      <c r="R19" s="26" t="s">
        <v>3</v>
      </c>
      <c r="S19" s="1">
        <v>1</v>
      </c>
    </row>
    <row r="20" spans="1:19" ht="14.25" hidden="1" customHeight="1">
      <c r="A20" s="22">
        <v>11</v>
      </c>
      <c r="B20" s="23" t="s">
        <v>41</v>
      </c>
      <c r="C20" s="24">
        <v>38</v>
      </c>
      <c r="D20" s="38">
        <f>'[2]1.RSP Districts '!D20</f>
        <v>38</v>
      </c>
      <c r="E20" s="38"/>
      <c r="F20" s="102">
        <f t="shared" si="4"/>
        <v>-100</v>
      </c>
      <c r="G20" s="102">
        <f t="shared" si="2"/>
        <v>0</v>
      </c>
      <c r="H20" s="38">
        <f>'[2]1.RSP Districts '!H20</f>
        <v>357</v>
      </c>
      <c r="I20" s="38"/>
      <c r="J20" s="24">
        <v>70164</v>
      </c>
      <c r="K20" s="38">
        <v>48595</v>
      </c>
      <c r="L20" s="38"/>
      <c r="M20" s="102">
        <f t="shared" si="3"/>
        <v>-100</v>
      </c>
      <c r="N20" s="102">
        <f t="shared" si="0"/>
        <v>0</v>
      </c>
      <c r="O20" s="38">
        <v>2246</v>
      </c>
      <c r="P20" s="38"/>
      <c r="Q20" s="102">
        <f t="shared" si="1"/>
        <v>-100</v>
      </c>
      <c r="R20" s="26" t="s">
        <v>5</v>
      </c>
      <c r="S20" s="1">
        <v>1</v>
      </c>
    </row>
    <row r="21" spans="1:19" ht="14.25" hidden="1" customHeight="1">
      <c r="A21" s="22">
        <v>12</v>
      </c>
      <c r="B21" s="23" t="s">
        <v>42</v>
      </c>
      <c r="C21" s="24">
        <v>7</v>
      </c>
      <c r="D21" s="38">
        <f>'[4]1.RSP Districts '!D21</f>
        <v>7</v>
      </c>
      <c r="E21" s="38"/>
      <c r="F21" s="102">
        <f t="shared" si="4"/>
        <v>-99.999999999999986</v>
      </c>
      <c r="G21" s="102">
        <f t="shared" si="2"/>
        <v>0</v>
      </c>
      <c r="H21" s="38">
        <f>'[4]1.RSP Districts '!H21</f>
        <v>137</v>
      </c>
      <c r="I21" s="38"/>
      <c r="J21" s="24">
        <v>14328.125</v>
      </c>
      <c r="K21" s="38">
        <f>'[4]1.RSP Districts '!K21</f>
        <v>15739</v>
      </c>
      <c r="L21" s="38"/>
      <c r="M21" s="102">
        <f t="shared" si="3"/>
        <v>-100.00000000000001</v>
      </c>
      <c r="N21" s="102">
        <f t="shared" si="0"/>
        <v>0</v>
      </c>
      <c r="O21" s="38">
        <v>942</v>
      </c>
      <c r="P21" s="38"/>
      <c r="Q21" s="102">
        <f t="shared" si="1"/>
        <v>-100</v>
      </c>
      <c r="R21" s="26" t="s">
        <v>3</v>
      </c>
      <c r="S21" s="1">
        <v>1</v>
      </c>
    </row>
    <row r="22" spans="1:19" ht="14.25" hidden="1" customHeight="1">
      <c r="A22" s="22">
        <v>13</v>
      </c>
      <c r="B22" s="23" t="s">
        <v>43</v>
      </c>
      <c r="C22" s="24">
        <v>35</v>
      </c>
      <c r="D22" s="38">
        <f>'[4]1.RSP Districts '!D22</f>
        <v>28</v>
      </c>
      <c r="E22" s="38"/>
      <c r="F22" s="102">
        <f t="shared" si="4"/>
        <v>-99.999999999999986</v>
      </c>
      <c r="G22" s="102">
        <f t="shared" si="2"/>
        <v>0</v>
      </c>
      <c r="H22" s="38">
        <f>'[4]1.RSP Districts '!H22</f>
        <v>217</v>
      </c>
      <c r="I22" s="38"/>
      <c r="J22" s="24">
        <v>60032</v>
      </c>
      <c r="K22" s="38">
        <f>'[4]1.RSP Districts '!K22</f>
        <v>34100</v>
      </c>
      <c r="L22" s="38"/>
      <c r="M22" s="102">
        <f t="shared" si="3"/>
        <v>-100</v>
      </c>
      <c r="N22" s="102">
        <f t="shared" si="0"/>
        <v>0</v>
      </c>
      <c r="O22" s="38">
        <v>2060</v>
      </c>
      <c r="P22" s="38"/>
      <c r="Q22" s="102">
        <f t="shared" si="1"/>
        <v>-100</v>
      </c>
      <c r="R22" s="26" t="s">
        <v>3</v>
      </c>
      <c r="S22" s="1">
        <v>1</v>
      </c>
    </row>
    <row r="23" spans="1:19" ht="14.25" hidden="1" customHeight="1">
      <c r="A23" s="22">
        <v>14</v>
      </c>
      <c r="B23" s="23" t="s">
        <v>172</v>
      </c>
      <c r="C23" s="24">
        <v>25</v>
      </c>
      <c r="D23" s="38">
        <v>0</v>
      </c>
      <c r="E23" s="38"/>
      <c r="F23" s="102">
        <v>0</v>
      </c>
      <c r="G23" s="102">
        <f t="shared" si="2"/>
        <v>0</v>
      </c>
      <c r="H23" s="102"/>
      <c r="I23" s="102"/>
      <c r="J23" s="165">
        <v>44863</v>
      </c>
      <c r="K23" s="24"/>
      <c r="L23" s="24"/>
      <c r="M23" s="102" t="e">
        <f t="shared" si="3"/>
        <v>#DIV/0!</v>
      </c>
      <c r="N23" s="102">
        <v>0</v>
      </c>
      <c r="O23" s="24"/>
      <c r="P23" s="25"/>
      <c r="Q23" s="102">
        <v>0</v>
      </c>
      <c r="R23" s="79">
        <v>0</v>
      </c>
      <c r="S23" s="1">
        <v>1</v>
      </c>
    </row>
    <row r="24" spans="1:19" ht="14.25" hidden="1" customHeight="1">
      <c r="A24" s="22">
        <v>15</v>
      </c>
      <c r="B24" s="23" t="s">
        <v>44</v>
      </c>
      <c r="C24" s="24">
        <v>15</v>
      </c>
      <c r="D24" s="38">
        <f>'[4]1.RSP Districts '!D24</f>
        <v>13</v>
      </c>
      <c r="E24" s="38"/>
      <c r="F24" s="102">
        <f t="shared" si="4"/>
        <v>-100</v>
      </c>
      <c r="G24" s="102">
        <f t="shared" si="2"/>
        <v>0</v>
      </c>
      <c r="H24" s="38">
        <f>'[4]1.RSP Districts '!H24</f>
        <v>131</v>
      </c>
      <c r="I24" s="38"/>
      <c r="J24" s="24">
        <v>28796</v>
      </c>
      <c r="K24" s="38">
        <f>'[4]1.RSP Districts '!K24</f>
        <v>19117</v>
      </c>
      <c r="L24" s="38"/>
      <c r="M24" s="102">
        <f t="shared" si="3"/>
        <v>-100</v>
      </c>
      <c r="N24" s="102">
        <f t="shared" si="0"/>
        <v>0</v>
      </c>
      <c r="O24" s="38">
        <v>1220</v>
      </c>
      <c r="P24" s="38"/>
      <c r="Q24" s="102">
        <f t="shared" si="1"/>
        <v>-100</v>
      </c>
      <c r="R24" s="26" t="s">
        <v>3</v>
      </c>
      <c r="S24" s="1">
        <v>1</v>
      </c>
    </row>
    <row r="25" spans="1:19" ht="14.25" hidden="1" customHeight="1">
      <c r="A25" s="22">
        <v>16</v>
      </c>
      <c r="B25" s="23" t="s">
        <v>173</v>
      </c>
      <c r="C25" s="24">
        <v>8</v>
      </c>
      <c r="D25" s="38">
        <v>0</v>
      </c>
      <c r="E25" s="38"/>
      <c r="F25" s="102">
        <v>0</v>
      </c>
      <c r="G25" s="102">
        <f t="shared" si="2"/>
        <v>0</v>
      </c>
      <c r="H25" s="102"/>
      <c r="I25" s="102"/>
      <c r="J25" s="164">
        <v>15156</v>
      </c>
      <c r="K25" s="24"/>
      <c r="L25" s="24"/>
      <c r="M25" s="102" t="e">
        <f t="shared" si="3"/>
        <v>#DIV/0!</v>
      </c>
      <c r="N25" s="102">
        <v>0</v>
      </c>
      <c r="O25" s="24"/>
      <c r="P25" s="25"/>
      <c r="Q25" s="102">
        <v>0</v>
      </c>
      <c r="R25" s="79">
        <v>0</v>
      </c>
      <c r="S25" s="1">
        <v>1</v>
      </c>
    </row>
    <row r="26" spans="1:19" ht="14.25" hidden="1" customHeight="1">
      <c r="A26" s="22">
        <v>17</v>
      </c>
      <c r="B26" s="23" t="s">
        <v>45</v>
      </c>
      <c r="C26" s="24">
        <v>22</v>
      </c>
      <c r="D26" s="38">
        <f>'[2]1.RSP Districts '!D26</f>
        <v>0</v>
      </c>
      <c r="E26" s="38"/>
      <c r="F26" s="102">
        <v>0</v>
      </c>
      <c r="G26" s="102">
        <f t="shared" si="2"/>
        <v>0</v>
      </c>
      <c r="H26" s="38">
        <f>'[2]1.RSP Districts '!H26</f>
        <v>288</v>
      </c>
      <c r="I26" s="38"/>
      <c r="J26" s="24">
        <v>34637</v>
      </c>
      <c r="K26" s="38">
        <v>5052</v>
      </c>
      <c r="L26" s="38"/>
      <c r="M26" s="102">
        <f t="shared" si="3"/>
        <v>-100</v>
      </c>
      <c r="N26" s="102">
        <f t="shared" si="0"/>
        <v>0</v>
      </c>
      <c r="O26" s="38">
        <v>288</v>
      </c>
      <c r="P26" s="38"/>
      <c r="Q26" s="102">
        <f t="shared" si="1"/>
        <v>-100</v>
      </c>
      <c r="R26" s="26" t="s">
        <v>5</v>
      </c>
      <c r="S26" s="1">
        <v>1</v>
      </c>
    </row>
    <row r="27" spans="1:19" ht="14.25" hidden="1" customHeight="1">
      <c r="A27" s="22">
        <v>18</v>
      </c>
      <c r="B27" s="23" t="s">
        <v>174</v>
      </c>
      <c r="C27" s="24">
        <v>20</v>
      </c>
      <c r="D27" s="38">
        <f>'[4]1.RSP Districts '!D27</f>
        <v>20</v>
      </c>
      <c r="E27" s="38"/>
      <c r="F27" s="102">
        <f t="shared" si="4"/>
        <v>-100</v>
      </c>
      <c r="G27" s="102">
        <f t="shared" si="2"/>
        <v>0</v>
      </c>
      <c r="H27" s="38">
        <f>'[4]1.RSP Districts '!H27</f>
        <v>20</v>
      </c>
      <c r="I27" s="38"/>
      <c r="J27" s="164">
        <v>39770</v>
      </c>
      <c r="K27" s="38">
        <f>'[4]1.RSP Districts '!K27</f>
        <v>2588</v>
      </c>
      <c r="L27" s="38"/>
      <c r="M27" s="102">
        <f t="shared" si="3"/>
        <v>-100</v>
      </c>
      <c r="N27" s="102">
        <f t="shared" si="0"/>
        <v>0</v>
      </c>
      <c r="O27" s="38">
        <v>134</v>
      </c>
      <c r="P27" s="38"/>
      <c r="Q27" s="102">
        <f t="shared" si="1"/>
        <v>-100</v>
      </c>
      <c r="R27" s="79" t="s">
        <v>3</v>
      </c>
      <c r="S27" s="1">
        <v>1</v>
      </c>
    </row>
    <row r="28" spans="1:19" ht="14.25" hidden="1" customHeight="1">
      <c r="A28" s="22">
        <v>19</v>
      </c>
      <c r="B28" s="23" t="s">
        <v>46</v>
      </c>
      <c r="C28" s="24">
        <v>13</v>
      </c>
      <c r="D28" s="38">
        <f>'[4]1.RSP Districts '!D28</f>
        <v>13</v>
      </c>
      <c r="E28" s="38"/>
      <c r="F28" s="102">
        <f t="shared" si="4"/>
        <v>-100</v>
      </c>
      <c r="G28" s="102">
        <f t="shared" si="2"/>
        <v>0</v>
      </c>
      <c r="H28" s="38">
        <f>'[4]1.RSP Districts '!H28</f>
        <v>82</v>
      </c>
      <c r="I28" s="38"/>
      <c r="J28" s="24">
        <v>18831</v>
      </c>
      <c r="K28" s="38">
        <f>'[4]1.RSP Districts '!K28</f>
        <v>18831</v>
      </c>
      <c r="L28" s="38"/>
      <c r="M28" s="102">
        <f t="shared" si="3"/>
        <v>-100</v>
      </c>
      <c r="N28" s="102">
        <f t="shared" si="0"/>
        <v>0</v>
      </c>
      <c r="O28" s="38">
        <v>1389</v>
      </c>
      <c r="P28" s="38"/>
      <c r="Q28" s="102">
        <f t="shared" si="1"/>
        <v>-100</v>
      </c>
      <c r="R28" s="26" t="s">
        <v>3</v>
      </c>
      <c r="S28" s="1">
        <v>1</v>
      </c>
    </row>
    <row r="29" spans="1:19" ht="14.25" hidden="1" customHeight="1">
      <c r="A29" s="22">
        <v>20</v>
      </c>
      <c r="B29" s="23" t="s">
        <v>175</v>
      </c>
      <c r="C29" s="24">
        <v>10</v>
      </c>
      <c r="D29" s="38">
        <v>0</v>
      </c>
      <c r="E29" s="38"/>
      <c r="F29" s="102">
        <v>0</v>
      </c>
      <c r="G29" s="102">
        <f t="shared" si="2"/>
        <v>0</v>
      </c>
      <c r="H29" s="102"/>
      <c r="I29" s="102"/>
      <c r="J29" s="164">
        <v>19126</v>
      </c>
      <c r="K29" s="24"/>
      <c r="L29" s="24"/>
      <c r="M29" s="102" t="e">
        <f t="shared" si="3"/>
        <v>#DIV/0!</v>
      </c>
      <c r="N29" s="102">
        <v>0</v>
      </c>
      <c r="O29" s="24"/>
      <c r="P29" s="25"/>
      <c r="Q29" s="102">
        <v>0</v>
      </c>
      <c r="R29" s="79">
        <v>0</v>
      </c>
      <c r="S29" s="1">
        <v>1</v>
      </c>
    </row>
    <row r="30" spans="1:19" ht="14.25" hidden="1" customHeight="1">
      <c r="A30" s="22">
        <v>21</v>
      </c>
      <c r="B30" s="23" t="s">
        <v>176</v>
      </c>
      <c r="C30" s="24">
        <v>24</v>
      </c>
      <c r="D30" s="38">
        <v>0</v>
      </c>
      <c r="E30" s="38"/>
      <c r="F30" s="102">
        <v>0</v>
      </c>
      <c r="G30" s="102">
        <f t="shared" si="2"/>
        <v>0</v>
      </c>
      <c r="H30" s="102"/>
      <c r="I30" s="102"/>
      <c r="J30" s="164">
        <v>34981</v>
      </c>
      <c r="K30" s="24"/>
      <c r="L30" s="24"/>
      <c r="M30" s="102" t="e">
        <f t="shared" si="3"/>
        <v>#DIV/0!</v>
      </c>
      <c r="N30" s="102">
        <v>0</v>
      </c>
      <c r="O30" s="24"/>
      <c r="P30" s="25"/>
      <c r="Q30" s="102">
        <v>0</v>
      </c>
      <c r="R30" s="79">
        <v>0</v>
      </c>
      <c r="S30" s="1">
        <v>1</v>
      </c>
    </row>
    <row r="31" spans="1:19" ht="14.25" hidden="1" customHeight="1">
      <c r="A31" s="22">
        <v>22</v>
      </c>
      <c r="B31" s="23" t="s">
        <v>177</v>
      </c>
      <c r="C31" s="24">
        <v>10</v>
      </c>
      <c r="D31" s="38">
        <f>'[4]1.RSP Districts '!D31</f>
        <v>1</v>
      </c>
      <c r="E31" s="38"/>
      <c r="F31" s="102">
        <f t="shared" si="4"/>
        <v>-100</v>
      </c>
      <c r="G31" s="102">
        <f t="shared" si="2"/>
        <v>0</v>
      </c>
      <c r="H31" s="38">
        <f>'[4]1.RSP Districts '!H31</f>
        <v>4</v>
      </c>
      <c r="I31" s="38"/>
      <c r="J31" s="164">
        <v>13570</v>
      </c>
      <c r="K31" s="38">
        <f>'[4]1.RSP Districts '!K31</f>
        <v>0</v>
      </c>
      <c r="L31" s="38"/>
      <c r="M31" s="102" t="e">
        <f t="shared" si="3"/>
        <v>#DIV/0!</v>
      </c>
      <c r="N31" s="102">
        <v>0</v>
      </c>
      <c r="O31" s="38">
        <v>4</v>
      </c>
      <c r="P31" s="38"/>
      <c r="Q31" s="102">
        <f t="shared" si="1"/>
        <v>-100</v>
      </c>
      <c r="R31" s="26" t="s">
        <v>3</v>
      </c>
      <c r="S31" s="1">
        <v>1</v>
      </c>
    </row>
    <row r="32" spans="1:19" ht="14.25" hidden="1" customHeight="1">
      <c r="A32" s="22">
        <v>23</v>
      </c>
      <c r="B32" s="23" t="s">
        <v>47</v>
      </c>
      <c r="C32" s="24">
        <v>16</v>
      </c>
      <c r="D32" s="38">
        <f>'[2]1.RSP Districts '!D32</f>
        <v>16</v>
      </c>
      <c r="E32" s="38"/>
      <c r="F32" s="102">
        <f t="shared" si="4"/>
        <v>-100</v>
      </c>
      <c r="G32" s="102">
        <f t="shared" si="2"/>
        <v>0</v>
      </c>
      <c r="H32" s="38">
        <f>'[2]1.RSP Districts '!H32</f>
        <v>117</v>
      </c>
      <c r="I32" s="38"/>
      <c r="J32" s="24">
        <v>35703</v>
      </c>
      <c r="K32" s="38">
        <f>'[2]1.RSP Districts '!K32</f>
        <v>16949</v>
      </c>
      <c r="L32" s="38"/>
      <c r="M32" s="102">
        <f t="shared" si="3"/>
        <v>-100</v>
      </c>
      <c r="N32" s="102">
        <f t="shared" si="0"/>
        <v>0</v>
      </c>
      <c r="O32" s="38">
        <v>1042</v>
      </c>
      <c r="P32" s="38"/>
      <c r="Q32" s="102">
        <f t="shared" si="1"/>
        <v>-100</v>
      </c>
      <c r="R32" s="26" t="s">
        <v>5</v>
      </c>
      <c r="S32" s="1">
        <v>1</v>
      </c>
    </row>
    <row r="33" spans="1:19" ht="14.25" hidden="1" customHeight="1">
      <c r="A33" s="22">
        <v>24</v>
      </c>
      <c r="B33" s="23" t="s">
        <v>48</v>
      </c>
      <c r="C33" s="24">
        <v>38</v>
      </c>
      <c r="D33" s="38">
        <f>'[4]1.RSP Districts '!D33</f>
        <v>35</v>
      </c>
      <c r="E33" s="38"/>
      <c r="F33" s="102">
        <f t="shared" si="4"/>
        <v>-100</v>
      </c>
      <c r="G33" s="102">
        <f t="shared" si="2"/>
        <v>0</v>
      </c>
      <c r="H33" s="38">
        <f>'[4]1.RSP Districts '!H33</f>
        <v>197</v>
      </c>
      <c r="I33" s="38"/>
      <c r="J33" s="24">
        <v>55654</v>
      </c>
      <c r="K33" s="38">
        <f>'[4]1.RSP Districts '!K33</f>
        <v>23705</v>
      </c>
      <c r="L33" s="38"/>
      <c r="M33" s="102">
        <f t="shared" si="3"/>
        <v>-100</v>
      </c>
      <c r="N33" s="102">
        <f t="shared" si="0"/>
        <v>0</v>
      </c>
      <c r="O33" s="38">
        <v>1550</v>
      </c>
      <c r="P33" s="38"/>
      <c r="Q33" s="102">
        <f t="shared" si="1"/>
        <v>-100</v>
      </c>
      <c r="R33" s="26" t="s">
        <v>3</v>
      </c>
      <c r="S33" s="1">
        <v>1</v>
      </c>
    </row>
    <row r="34" spans="1:19" ht="14.25" hidden="1" customHeight="1">
      <c r="A34" s="22">
        <v>25</v>
      </c>
      <c r="B34" s="23" t="s">
        <v>181</v>
      </c>
      <c r="C34" s="24">
        <v>47</v>
      </c>
      <c r="D34" s="38">
        <f>'[4]1.RSP Districts '!D34</f>
        <v>5</v>
      </c>
      <c r="E34" s="38"/>
      <c r="F34" s="102">
        <f t="shared" si="4"/>
        <v>-100</v>
      </c>
      <c r="G34" s="102">
        <f t="shared" si="2"/>
        <v>0</v>
      </c>
      <c r="H34" s="38">
        <f>'[4]1.RSP Districts '!H34</f>
        <v>0</v>
      </c>
      <c r="I34" s="38"/>
      <c r="J34" s="164">
        <v>25232</v>
      </c>
      <c r="K34" s="38">
        <f>'[4]1.RSP Districts '!K34</f>
        <v>939</v>
      </c>
      <c r="L34" s="38"/>
      <c r="M34" s="102">
        <f t="shared" si="3"/>
        <v>-100</v>
      </c>
      <c r="N34" s="102">
        <f t="shared" si="0"/>
        <v>0</v>
      </c>
      <c r="O34" s="38">
        <v>88</v>
      </c>
      <c r="P34" s="38"/>
      <c r="Q34" s="102">
        <f t="shared" si="1"/>
        <v>-100</v>
      </c>
      <c r="R34" s="79" t="s">
        <v>3</v>
      </c>
      <c r="S34" s="1">
        <v>1</v>
      </c>
    </row>
    <row r="35" spans="1:19" ht="14.25" hidden="1" customHeight="1">
      <c r="A35" s="22">
        <v>26</v>
      </c>
      <c r="B35" s="23" t="s">
        <v>49</v>
      </c>
      <c r="C35" s="24">
        <v>7</v>
      </c>
      <c r="D35" s="38">
        <f>'[4]1.RSP Districts '!D35</f>
        <v>7</v>
      </c>
      <c r="E35" s="38"/>
      <c r="F35" s="102">
        <f t="shared" si="4"/>
        <v>-99.999999999999986</v>
      </c>
      <c r="G35" s="102">
        <f t="shared" si="2"/>
        <v>0</v>
      </c>
      <c r="H35" s="38">
        <f>'[4]1.RSP Districts '!H35</f>
        <v>38</v>
      </c>
      <c r="I35" s="38"/>
      <c r="J35" s="24">
        <v>10608.311688311687</v>
      </c>
      <c r="K35" s="38">
        <f>'[4]1.RSP Districts '!K35</f>
        <v>2520</v>
      </c>
      <c r="L35" s="38"/>
      <c r="M35" s="102">
        <f t="shared" si="3"/>
        <v>-100</v>
      </c>
      <c r="N35" s="102">
        <f t="shared" si="0"/>
        <v>0</v>
      </c>
      <c r="O35" s="38">
        <v>118</v>
      </c>
      <c r="P35" s="38"/>
      <c r="Q35" s="102">
        <f t="shared" si="1"/>
        <v>-100</v>
      </c>
      <c r="R35" s="26" t="s">
        <v>3</v>
      </c>
      <c r="S35" s="1">
        <v>1</v>
      </c>
    </row>
    <row r="36" spans="1:19" ht="14.25" hidden="1" customHeight="1">
      <c r="A36" s="22">
        <v>27</v>
      </c>
      <c r="B36" s="23" t="s">
        <v>178</v>
      </c>
      <c r="C36" s="24">
        <v>11</v>
      </c>
      <c r="D36" s="38">
        <v>0</v>
      </c>
      <c r="E36" s="38"/>
      <c r="F36" s="102">
        <v>0</v>
      </c>
      <c r="G36" s="102">
        <f t="shared" si="2"/>
        <v>0</v>
      </c>
      <c r="H36" s="102"/>
      <c r="I36" s="102"/>
      <c r="J36" s="164">
        <v>19815</v>
      </c>
      <c r="K36" s="24"/>
      <c r="L36" s="24"/>
      <c r="M36" s="102" t="e">
        <f t="shared" si="3"/>
        <v>#DIV/0!</v>
      </c>
      <c r="N36" s="102">
        <v>0</v>
      </c>
      <c r="O36" s="24"/>
      <c r="P36" s="25"/>
      <c r="Q36" s="102">
        <v>0</v>
      </c>
      <c r="R36" s="79">
        <v>0</v>
      </c>
      <c r="S36" s="1">
        <v>1</v>
      </c>
    </row>
    <row r="37" spans="1:19" ht="14.25" hidden="1" customHeight="1">
      <c r="A37" s="22">
        <v>28</v>
      </c>
      <c r="B37" s="23" t="s">
        <v>179</v>
      </c>
      <c r="C37" s="24">
        <v>9</v>
      </c>
      <c r="D37" s="38">
        <v>0</v>
      </c>
      <c r="E37" s="38"/>
      <c r="F37" s="102">
        <v>0</v>
      </c>
      <c r="G37" s="102">
        <f t="shared" si="2"/>
        <v>0</v>
      </c>
      <c r="H37" s="102"/>
      <c r="I37" s="102"/>
      <c r="J37" s="164">
        <v>18421.875</v>
      </c>
      <c r="K37" s="24"/>
      <c r="L37" s="24"/>
      <c r="M37" s="102" t="e">
        <f t="shared" si="3"/>
        <v>#DIV/0!</v>
      </c>
      <c r="N37" s="102">
        <v>0</v>
      </c>
      <c r="O37" s="24"/>
      <c r="P37" s="25"/>
      <c r="Q37" s="102">
        <v>0</v>
      </c>
      <c r="R37" s="79">
        <v>0</v>
      </c>
      <c r="S37" s="1">
        <v>1</v>
      </c>
    </row>
    <row r="38" spans="1:19" ht="14.25" hidden="1" customHeight="1">
      <c r="A38" s="22">
        <v>29</v>
      </c>
      <c r="B38" s="23" t="s">
        <v>50</v>
      </c>
      <c r="C38" s="24">
        <v>21</v>
      </c>
      <c r="D38" s="38">
        <f>'[4]1.RSP Districts '!D38</f>
        <v>21</v>
      </c>
      <c r="E38" s="38"/>
      <c r="F38" s="102">
        <f t="shared" si="4"/>
        <v>-100</v>
      </c>
      <c r="G38" s="102">
        <f t="shared" si="2"/>
        <v>0</v>
      </c>
      <c r="H38" s="38">
        <f>'[4]1.RSP Districts '!H38</f>
        <v>141</v>
      </c>
      <c r="I38" s="38"/>
      <c r="J38" s="24">
        <v>21117.688311688311</v>
      </c>
      <c r="K38" s="38">
        <f>'[4]1.RSP Districts '!K38</f>
        <v>21575</v>
      </c>
      <c r="L38" s="38"/>
      <c r="M38" s="102">
        <f t="shared" si="3"/>
        <v>-100</v>
      </c>
      <c r="N38" s="102">
        <f t="shared" si="0"/>
        <v>0</v>
      </c>
      <c r="O38" s="38">
        <v>1257</v>
      </c>
      <c r="P38" s="38"/>
      <c r="Q38" s="102">
        <f t="shared" si="1"/>
        <v>-100</v>
      </c>
      <c r="R38" s="26" t="s">
        <v>3</v>
      </c>
      <c r="S38" s="1">
        <v>1</v>
      </c>
    </row>
    <row r="39" spans="1:19" ht="15" hidden="1" customHeight="1" thickBot="1">
      <c r="A39" s="36">
        <v>30</v>
      </c>
      <c r="B39" s="37" t="s">
        <v>180</v>
      </c>
      <c r="C39" s="38">
        <v>10</v>
      </c>
      <c r="D39" s="38">
        <v>0</v>
      </c>
      <c r="E39" s="38"/>
      <c r="F39" s="134">
        <v>0</v>
      </c>
      <c r="G39" s="134">
        <f t="shared" si="2"/>
        <v>0</v>
      </c>
      <c r="H39" s="134"/>
      <c r="I39" s="134"/>
      <c r="J39" s="164">
        <v>4609</v>
      </c>
      <c r="K39" s="24"/>
      <c r="L39" s="38"/>
      <c r="M39" s="102" t="e">
        <f t="shared" si="3"/>
        <v>#DIV/0!</v>
      </c>
      <c r="N39" s="134">
        <v>0</v>
      </c>
      <c r="O39" s="24"/>
      <c r="P39" s="40"/>
      <c r="Q39" s="134">
        <v>0</v>
      </c>
      <c r="R39" s="88">
        <v>0</v>
      </c>
      <c r="S39" s="1">
        <v>1</v>
      </c>
    </row>
    <row r="40" spans="1:19" s="4" customFormat="1" ht="15.75" hidden="1" customHeight="1" thickBot="1">
      <c r="A40" s="150">
        <f>COUNTIF(R10:R39,"*")</f>
        <v>19</v>
      </c>
      <c r="B40" s="149" t="s">
        <v>33</v>
      </c>
      <c r="C40" s="56">
        <f>SUM(C10:C39)</f>
        <v>547</v>
      </c>
      <c r="D40" s="56">
        <f>SUM(D10:D39)</f>
        <v>279</v>
      </c>
      <c r="E40" s="56">
        <f>SUM(E10:E39)</f>
        <v>0</v>
      </c>
      <c r="F40" s="151">
        <f t="shared" si="4"/>
        <v>-100</v>
      </c>
      <c r="G40" s="151">
        <f t="shared" si="2"/>
        <v>0</v>
      </c>
      <c r="H40" s="151">
        <f>SUM(H10:H39)</f>
        <v>2362</v>
      </c>
      <c r="I40" s="151">
        <f>SUM(I10:I39)</f>
        <v>0</v>
      </c>
      <c r="J40" s="56">
        <f>SUM(J10:J39)</f>
        <v>814191</v>
      </c>
      <c r="K40" s="218">
        <f>SUM(K10:K39)</f>
        <v>288634</v>
      </c>
      <c r="L40" s="56">
        <f>SUM(L10:L39)</f>
        <v>0</v>
      </c>
      <c r="M40" s="151">
        <f t="shared" si="3"/>
        <v>-100</v>
      </c>
      <c r="N40" s="151">
        <f t="shared" si="0"/>
        <v>0</v>
      </c>
      <c r="O40" s="56">
        <f>SUM(O10:O39)</f>
        <v>16518</v>
      </c>
      <c r="P40" s="56">
        <f>SUM(P10:P39)</f>
        <v>0</v>
      </c>
      <c r="Q40" s="151">
        <f t="shared" si="1"/>
        <v>-100</v>
      </c>
      <c r="R40" s="153"/>
      <c r="S40" s="1">
        <v>1</v>
      </c>
    </row>
    <row r="41" spans="1:19" ht="5.25" customHeight="1" thickBot="1">
      <c r="A41" s="89"/>
      <c r="B41" s="90"/>
      <c r="C41" s="45"/>
      <c r="D41" s="45"/>
      <c r="E41" s="45"/>
      <c r="F41" s="105"/>
      <c r="G41" s="105"/>
      <c r="H41" s="105"/>
      <c r="I41" s="105"/>
      <c r="J41" s="45"/>
      <c r="K41" s="45"/>
      <c r="L41" s="45"/>
      <c r="M41" s="45"/>
      <c r="N41" s="45"/>
      <c r="O41" s="45"/>
      <c r="P41" s="45"/>
      <c r="Q41" s="45"/>
      <c r="R41" s="91"/>
      <c r="S41" s="1">
        <v>1</v>
      </c>
    </row>
    <row r="42" spans="1:19" s="5" customFormat="1" ht="14.25">
      <c r="A42" s="17" t="s">
        <v>277</v>
      </c>
      <c r="B42" s="18"/>
      <c r="C42" s="19"/>
      <c r="D42" s="28"/>
      <c r="E42" s="28"/>
      <c r="F42" s="104"/>
      <c r="G42" s="104"/>
      <c r="H42" s="104"/>
      <c r="I42" s="104"/>
      <c r="J42" s="19"/>
      <c r="K42" s="28"/>
      <c r="L42" s="28"/>
      <c r="M42" s="28"/>
      <c r="N42" s="28"/>
      <c r="O42" s="28"/>
      <c r="P42" s="28"/>
      <c r="Q42" s="28"/>
      <c r="R42" s="21"/>
      <c r="S42" s="1">
        <v>1</v>
      </c>
    </row>
    <row r="43" spans="1:19" ht="14.25">
      <c r="A43" s="22">
        <v>1</v>
      </c>
      <c r="B43" s="23" t="s">
        <v>51</v>
      </c>
      <c r="C43" s="24">
        <v>54</v>
      </c>
      <c r="D43" s="24">
        <f>'[6]1.RSP Districts '!D43</f>
        <v>51</v>
      </c>
      <c r="E43" s="24">
        <v>54</v>
      </c>
      <c r="F43" s="102">
        <f t="shared" ref="F43:F77" si="5">(E43-D43)/D43%</f>
        <v>5.8823529411764701</v>
      </c>
      <c r="G43" s="102">
        <f t="shared" ref="G43:G77" si="6">E43/C43%</f>
        <v>100</v>
      </c>
      <c r="H43" s="24">
        <f>'[6]1.RSP Districts '!H43</f>
        <v>189</v>
      </c>
      <c r="I43" s="24">
        <v>189</v>
      </c>
      <c r="J43" s="24">
        <v>115585</v>
      </c>
      <c r="K43" s="24">
        <v>57606</v>
      </c>
      <c r="L43" s="24">
        <v>57606</v>
      </c>
      <c r="M43" s="102">
        <f t="shared" ref="M43:M77" si="7">(L43-K43)/K43%</f>
        <v>0</v>
      </c>
      <c r="N43" s="102">
        <f>L43/J43%</f>
        <v>49.838646883246099</v>
      </c>
      <c r="O43" s="24">
        <v>2017</v>
      </c>
      <c r="P43" s="24">
        <v>2017</v>
      </c>
      <c r="Q43" s="102">
        <f t="shared" ref="Q43:Q77" si="8">(P43-O43)/O43%</f>
        <v>0</v>
      </c>
      <c r="R43" s="26" t="s">
        <v>9</v>
      </c>
      <c r="S43" s="1">
        <v>1</v>
      </c>
    </row>
    <row r="44" spans="1:19" ht="14.25" hidden="1">
      <c r="A44" s="22">
        <v>2</v>
      </c>
      <c r="B44" s="23" t="s">
        <v>278</v>
      </c>
      <c r="C44" s="24">
        <v>49</v>
      </c>
      <c r="D44" s="24">
        <v>0</v>
      </c>
      <c r="E44" s="24"/>
      <c r="F44" s="102">
        <v>0</v>
      </c>
      <c r="G44" s="102">
        <f t="shared" si="6"/>
        <v>0</v>
      </c>
      <c r="H44" s="102">
        <v>0</v>
      </c>
      <c r="I44" s="102"/>
      <c r="J44" s="164">
        <v>65010</v>
      </c>
      <c r="K44" s="24">
        <v>0</v>
      </c>
      <c r="L44" s="24"/>
      <c r="M44" s="102">
        <v>0</v>
      </c>
      <c r="N44" s="102">
        <v>0</v>
      </c>
      <c r="O44" s="24">
        <v>0</v>
      </c>
      <c r="P44" s="25"/>
      <c r="Q44" s="102">
        <v>0</v>
      </c>
      <c r="R44" s="79">
        <v>0</v>
      </c>
      <c r="S44" s="1">
        <v>1</v>
      </c>
    </row>
    <row r="45" spans="1:19" s="231" customFormat="1" ht="14.25">
      <c r="A45" s="227">
        <v>3</v>
      </c>
      <c r="B45" s="228" t="s">
        <v>52</v>
      </c>
      <c r="C45" s="222">
        <v>20</v>
      </c>
      <c r="D45" s="222">
        <v>18</v>
      </c>
      <c r="E45" s="222">
        <v>18</v>
      </c>
      <c r="F45" s="229">
        <f t="shared" si="5"/>
        <v>0</v>
      </c>
      <c r="G45" s="229">
        <f t="shared" si="6"/>
        <v>90</v>
      </c>
      <c r="H45" s="222">
        <f>'[6]1.RSP Districts '!H45</f>
        <v>104</v>
      </c>
      <c r="I45" s="222">
        <v>92</v>
      </c>
      <c r="J45" s="222">
        <v>46053</v>
      </c>
      <c r="K45" s="222">
        <v>36501</v>
      </c>
      <c r="L45" s="222">
        <v>36501</v>
      </c>
      <c r="M45" s="229">
        <f t="shared" si="7"/>
        <v>0</v>
      </c>
      <c r="N45" s="229">
        <f t="shared" ref="N45:N77" si="9">L45/J45%</f>
        <v>79.258680216272566</v>
      </c>
      <c r="O45" s="222">
        <v>1502</v>
      </c>
      <c r="P45" s="222">
        <v>1502</v>
      </c>
      <c r="Q45" s="229">
        <f t="shared" si="8"/>
        <v>0</v>
      </c>
      <c r="R45" s="230" t="s">
        <v>9</v>
      </c>
      <c r="S45" s="231">
        <v>1</v>
      </c>
    </row>
    <row r="46" spans="1:19" s="231" customFormat="1" ht="14.25" hidden="1">
      <c r="A46" s="227">
        <v>4</v>
      </c>
      <c r="B46" s="228" t="s">
        <v>53</v>
      </c>
      <c r="C46" s="222">
        <v>27</v>
      </c>
      <c r="D46" s="232">
        <v>21</v>
      </c>
      <c r="E46" s="232">
        <v>21</v>
      </c>
      <c r="F46" s="229">
        <f t="shared" si="5"/>
        <v>0</v>
      </c>
      <c r="G46" s="229">
        <f t="shared" si="6"/>
        <v>77.777777777777771</v>
      </c>
      <c r="H46" s="232">
        <f>'[2]1.RSP Districts '!H46</f>
        <v>167</v>
      </c>
      <c r="I46" s="232">
        <v>111</v>
      </c>
      <c r="J46" s="222">
        <v>56591</v>
      </c>
      <c r="K46" s="232">
        <v>6896</v>
      </c>
      <c r="L46" s="232">
        <v>139064</v>
      </c>
      <c r="M46" s="229">
        <f t="shared" si="7"/>
        <v>1916.5893271461719</v>
      </c>
      <c r="N46" s="229">
        <f t="shared" si="9"/>
        <v>245.73518757399589</v>
      </c>
      <c r="O46" s="232">
        <v>451</v>
      </c>
      <c r="P46" s="232"/>
      <c r="Q46" s="229">
        <f t="shared" si="8"/>
        <v>-100</v>
      </c>
      <c r="R46" s="230" t="s">
        <v>5</v>
      </c>
      <c r="S46" s="231">
        <v>1</v>
      </c>
    </row>
    <row r="47" spans="1:19" ht="14.25">
      <c r="A47" s="22">
        <v>4</v>
      </c>
      <c r="B47" s="23" t="s">
        <v>54</v>
      </c>
      <c r="C47" s="24">
        <v>27</v>
      </c>
      <c r="D47" s="24">
        <f>'[6]1.RSP Districts '!D47</f>
        <v>21</v>
      </c>
      <c r="E47" s="24">
        <v>21</v>
      </c>
      <c r="F47" s="102">
        <f t="shared" si="5"/>
        <v>0</v>
      </c>
      <c r="G47" s="102">
        <f t="shared" si="6"/>
        <v>77.777777777777771</v>
      </c>
      <c r="H47" s="24">
        <v>111</v>
      </c>
      <c r="I47" s="24">
        <v>111</v>
      </c>
      <c r="J47" s="24">
        <v>56591</v>
      </c>
      <c r="K47" s="24">
        <v>6896</v>
      </c>
      <c r="L47" s="24">
        <v>13964</v>
      </c>
      <c r="M47" s="102">
        <f t="shared" si="7"/>
        <v>102.49419953596289</v>
      </c>
      <c r="N47" s="102">
        <f t="shared" si="9"/>
        <v>24.67530172642293</v>
      </c>
      <c r="O47" s="24">
        <v>451</v>
      </c>
      <c r="P47" s="24">
        <v>597</v>
      </c>
      <c r="Q47" s="102">
        <f t="shared" si="8"/>
        <v>32.372505543237253</v>
      </c>
      <c r="R47" s="26" t="s">
        <v>9</v>
      </c>
      <c r="S47" s="1">
        <v>1</v>
      </c>
    </row>
    <row r="48" spans="1:19" ht="14.25" hidden="1">
      <c r="A48" s="22">
        <v>5</v>
      </c>
      <c r="B48" s="23" t="s">
        <v>55</v>
      </c>
      <c r="C48" s="24">
        <v>49</v>
      </c>
      <c r="D48" s="38">
        <f>'[2]1.RSP Districts '!D48</f>
        <v>28</v>
      </c>
      <c r="E48" s="38"/>
      <c r="F48" s="102">
        <f t="shared" si="5"/>
        <v>-99.999999999999986</v>
      </c>
      <c r="G48" s="102">
        <f t="shared" si="6"/>
        <v>0</v>
      </c>
      <c r="H48" s="38">
        <f>'[2]1.RSP Districts '!H48</f>
        <v>226</v>
      </c>
      <c r="I48" s="38"/>
      <c r="J48" s="24">
        <v>102361</v>
      </c>
      <c r="K48" s="38">
        <v>12926</v>
      </c>
      <c r="L48" s="38"/>
      <c r="M48" s="102">
        <f t="shared" si="7"/>
        <v>-100</v>
      </c>
      <c r="N48" s="102">
        <f t="shared" si="9"/>
        <v>0</v>
      </c>
      <c r="O48" s="38">
        <v>736</v>
      </c>
      <c r="P48" s="38"/>
      <c r="Q48" s="102">
        <f t="shared" si="8"/>
        <v>-100</v>
      </c>
      <c r="R48" s="26" t="s">
        <v>5</v>
      </c>
      <c r="S48" s="1">
        <v>1</v>
      </c>
    </row>
    <row r="49" spans="1:19" s="231" customFormat="1" ht="14.25">
      <c r="A49" s="227">
        <v>5</v>
      </c>
      <c r="B49" s="228" t="s">
        <v>56</v>
      </c>
      <c r="C49" s="222">
        <v>49</v>
      </c>
      <c r="D49" s="222">
        <f>'[6]1.RSP Districts '!D49</f>
        <v>37</v>
      </c>
      <c r="E49" s="222">
        <v>37</v>
      </c>
      <c r="F49" s="229">
        <f t="shared" si="5"/>
        <v>0</v>
      </c>
      <c r="G49" s="229">
        <f t="shared" si="6"/>
        <v>75.510204081632651</v>
      </c>
      <c r="H49" s="222">
        <f>'[6]1.RSP Districts '!H49</f>
        <v>68</v>
      </c>
      <c r="I49" s="222">
        <v>68</v>
      </c>
      <c r="J49" s="222">
        <v>102361</v>
      </c>
      <c r="K49" s="222">
        <v>36736</v>
      </c>
      <c r="L49" s="222">
        <f>K49+629</f>
        <v>37365</v>
      </c>
      <c r="M49" s="229">
        <f t="shared" si="7"/>
        <v>1.7122168989547037</v>
      </c>
      <c r="N49" s="229">
        <f t="shared" si="9"/>
        <v>36.503160383349126</v>
      </c>
      <c r="O49" s="222">
        <v>1597</v>
      </c>
      <c r="P49" s="222">
        <v>1626</v>
      </c>
      <c r="Q49" s="229">
        <f t="shared" si="8"/>
        <v>1.8159048215403881</v>
      </c>
      <c r="R49" s="230" t="s">
        <v>9</v>
      </c>
      <c r="S49" s="231">
        <v>1</v>
      </c>
    </row>
    <row r="50" spans="1:19" ht="14.25" hidden="1">
      <c r="A50" s="22">
        <v>6</v>
      </c>
      <c r="B50" s="23" t="s">
        <v>57</v>
      </c>
      <c r="C50" s="24">
        <v>24</v>
      </c>
      <c r="D50" s="24">
        <v>24</v>
      </c>
      <c r="E50" s="24">
        <v>24</v>
      </c>
      <c r="F50" s="102">
        <f t="shared" si="5"/>
        <v>0</v>
      </c>
      <c r="G50" s="102">
        <f t="shared" si="6"/>
        <v>100</v>
      </c>
      <c r="H50" s="24">
        <v>378</v>
      </c>
      <c r="I50" s="24">
        <v>378</v>
      </c>
      <c r="J50" s="24">
        <v>36879</v>
      </c>
      <c r="K50" s="24">
        <v>34914</v>
      </c>
      <c r="L50" s="24">
        <f>K50</f>
        <v>34914</v>
      </c>
      <c r="M50" s="102">
        <f t="shared" si="7"/>
        <v>0</v>
      </c>
      <c r="N50" s="102">
        <f t="shared" si="9"/>
        <v>94.671764418774913</v>
      </c>
      <c r="O50" s="24"/>
      <c r="P50" s="24"/>
      <c r="Q50" s="102" t="e">
        <f t="shared" si="8"/>
        <v>#DIV/0!</v>
      </c>
      <c r="R50" s="26" t="s">
        <v>2</v>
      </c>
      <c r="S50" s="1">
        <v>1</v>
      </c>
    </row>
    <row r="51" spans="1:19" s="231" customFormat="1" ht="14.25">
      <c r="A51" s="227">
        <v>6</v>
      </c>
      <c r="B51" s="228" t="s">
        <v>58</v>
      </c>
      <c r="C51" s="222">
        <v>24</v>
      </c>
      <c r="D51" s="222">
        <f>'[6]1.RSP Districts '!D51</f>
        <v>24</v>
      </c>
      <c r="E51" s="222">
        <v>24</v>
      </c>
      <c r="F51" s="229">
        <f t="shared" si="5"/>
        <v>0</v>
      </c>
      <c r="G51" s="229">
        <f t="shared" si="6"/>
        <v>100</v>
      </c>
      <c r="H51" s="222">
        <f>'[6]1.RSP Districts '!H51</f>
        <v>523</v>
      </c>
      <c r="I51" s="222">
        <v>523</v>
      </c>
      <c r="J51" s="222">
        <v>36879</v>
      </c>
      <c r="K51" s="222">
        <v>26140</v>
      </c>
      <c r="L51" s="222">
        <v>29557</v>
      </c>
      <c r="M51" s="229">
        <f t="shared" si="7"/>
        <v>13.071920428462128</v>
      </c>
      <c r="N51" s="229">
        <f t="shared" si="9"/>
        <v>80.145882480544472</v>
      </c>
      <c r="O51" s="222">
        <v>860</v>
      </c>
      <c r="P51" s="222">
        <v>900</v>
      </c>
      <c r="Q51" s="229">
        <f t="shared" si="8"/>
        <v>4.6511627906976747</v>
      </c>
      <c r="R51" s="230" t="s">
        <v>9</v>
      </c>
      <c r="S51" s="231">
        <v>1</v>
      </c>
    </row>
    <row r="52" spans="1:19" s="231" customFormat="1" ht="14.25">
      <c r="A52" s="227">
        <v>7</v>
      </c>
      <c r="B52" s="228" t="s">
        <v>59</v>
      </c>
      <c r="C52" s="222">
        <v>28</v>
      </c>
      <c r="D52" s="222">
        <v>25</v>
      </c>
      <c r="E52" s="222">
        <v>25</v>
      </c>
      <c r="F52" s="229">
        <f t="shared" si="5"/>
        <v>0</v>
      </c>
      <c r="G52" s="229">
        <f t="shared" si="6"/>
        <v>89.285714285714278</v>
      </c>
      <c r="H52" s="222">
        <f>'[6]1.RSP Districts '!H52</f>
        <v>259</v>
      </c>
      <c r="I52" s="222">
        <v>328</v>
      </c>
      <c r="J52" s="222">
        <v>70230</v>
      </c>
      <c r="K52" s="222">
        <v>35097</v>
      </c>
      <c r="L52" s="222">
        <v>58744</v>
      </c>
      <c r="M52" s="229">
        <f t="shared" si="7"/>
        <v>67.376129013875826</v>
      </c>
      <c r="N52" s="229">
        <f t="shared" si="9"/>
        <v>83.645165883525564</v>
      </c>
      <c r="O52" s="222">
        <v>1635</v>
      </c>
      <c r="P52" s="222">
        <v>1862</v>
      </c>
      <c r="Q52" s="229">
        <f t="shared" si="8"/>
        <v>13.883792048929662</v>
      </c>
      <c r="R52" s="230" t="s">
        <v>9</v>
      </c>
      <c r="S52" s="231">
        <v>1</v>
      </c>
    </row>
    <row r="53" spans="1:19" s="231" customFormat="1" ht="14.25">
      <c r="A53" s="227">
        <v>8</v>
      </c>
      <c r="B53" s="228" t="s">
        <v>194</v>
      </c>
      <c r="C53" s="222">
        <v>37</v>
      </c>
      <c r="D53" s="222">
        <v>28</v>
      </c>
      <c r="E53" s="222">
        <v>28</v>
      </c>
      <c r="F53" s="229">
        <v>0</v>
      </c>
      <c r="G53" s="229">
        <f t="shared" si="6"/>
        <v>75.675675675675677</v>
      </c>
      <c r="H53" s="222">
        <v>140</v>
      </c>
      <c r="I53" s="222">
        <v>140</v>
      </c>
      <c r="J53" s="233">
        <v>73626</v>
      </c>
      <c r="K53" s="222">
        <v>3482</v>
      </c>
      <c r="L53" s="222">
        <v>22036</v>
      </c>
      <c r="M53" s="229">
        <f t="shared" si="7"/>
        <v>532.854681217691</v>
      </c>
      <c r="N53" s="229">
        <f t="shared" si="9"/>
        <v>29.929644419091083</v>
      </c>
      <c r="O53" s="222">
        <v>504</v>
      </c>
      <c r="P53" s="222">
        <v>928</v>
      </c>
      <c r="Q53" s="229">
        <f t="shared" si="8"/>
        <v>84.126984126984127</v>
      </c>
      <c r="R53" s="234" t="s">
        <v>9</v>
      </c>
      <c r="S53" s="231">
        <v>1</v>
      </c>
    </row>
    <row r="54" spans="1:19" ht="14.25">
      <c r="A54" s="22">
        <v>9</v>
      </c>
      <c r="B54" s="23" t="s">
        <v>195</v>
      </c>
      <c r="C54" s="24">
        <v>47</v>
      </c>
      <c r="D54" s="24">
        <f>'[6]1.RSP Districts '!D54</f>
        <v>0</v>
      </c>
      <c r="E54" s="24"/>
      <c r="F54" s="102">
        <v>0</v>
      </c>
      <c r="G54" s="102">
        <f t="shared" si="6"/>
        <v>0</v>
      </c>
      <c r="H54" s="24">
        <f>'[6]1.RSP Districts '!H54</f>
        <v>0</v>
      </c>
      <c r="I54" s="24"/>
      <c r="J54" s="164">
        <v>99528</v>
      </c>
      <c r="K54" s="24">
        <v>0</v>
      </c>
      <c r="L54" s="24"/>
      <c r="M54" s="102">
        <v>0</v>
      </c>
      <c r="N54" s="102">
        <v>0</v>
      </c>
      <c r="O54" s="24">
        <v>0</v>
      </c>
      <c r="P54" s="24">
        <v>0</v>
      </c>
      <c r="Q54" s="102">
        <v>0</v>
      </c>
      <c r="R54" s="79" t="s">
        <v>9</v>
      </c>
      <c r="S54" s="1">
        <v>1</v>
      </c>
    </row>
    <row r="55" spans="1:19" s="231" customFormat="1" ht="14.25">
      <c r="A55" s="227">
        <v>10</v>
      </c>
      <c r="B55" s="228" t="s">
        <v>60</v>
      </c>
      <c r="C55" s="222">
        <v>19</v>
      </c>
      <c r="D55" s="222">
        <f>'[6]1.RSP Districts '!D55</f>
        <v>17</v>
      </c>
      <c r="E55" s="222">
        <v>17</v>
      </c>
      <c r="F55" s="229">
        <f t="shared" si="5"/>
        <v>0</v>
      </c>
      <c r="G55" s="229">
        <f t="shared" si="6"/>
        <v>89.473684210526315</v>
      </c>
      <c r="H55" s="222">
        <f>'[6]1.RSP Districts '!H55</f>
        <v>337</v>
      </c>
      <c r="I55" s="222"/>
      <c r="J55" s="222">
        <v>24536</v>
      </c>
      <c r="K55" s="222">
        <v>14204</v>
      </c>
      <c r="L55" s="222">
        <v>14204</v>
      </c>
      <c r="M55" s="229">
        <f t="shared" si="7"/>
        <v>0</v>
      </c>
      <c r="N55" s="229">
        <f t="shared" si="9"/>
        <v>57.890446690577107</v>
      </c>
      <c r="O55" s="222">
        <v>505</v>
      </c>
      <c r="P55" s="222">
        <v>505</v>
      </c>
      <c r="Q55" s="229">
        <f t="shared" si="8"/>
        <v>0</v>
      </c>
      <c r="R55" s="230" t="s">
        <v>9</v>
      </c>
      <c r="S55" s="231">
        <v>1</v>
      </c>
    </row>
    <row r="56" spans="1:19" s="231" customFormat="1" ht="14.25" hidden="1">
      <c r="A56" s="227">
        <v>11</v>
      </c>
      <c r="B56" s="228" t="s">
        <v>61</v>
      </c>
      <c r="C56" s="222">
        <v>45</v>
      </c>
      <c r="D56" s="222">
        <v>45</v>
      </c>
      <c r="E56" s="222">
        <v>45</v>
      </c>
      <c r="F56" s="229">
        <f t="shared" si="5"/>
        <v>0</v>
      </c>
      <c r="G56" s="229">
        <f t="shared" si="6"/>
        <v>100</v>
      </c>
      <c r="H56" s="222">
        <v>157</v>
      </c>
      <c r="I56" s="222"/>
      <c r="J56" s="222">
        <v>94383</v>
      </c>
      <c r="K56" s="222">
        <v>7070</v>
      </c>
      <c r="L56" s="222"/>
      <c r="M56" s="229">
        <f t="shared" si="7"/>
        <v>-100</v>
      </c>
      <c r="N56" s="229">
        <f t="shared" si="9"/>
        <v>0</v>
      </c>
      <c r="O56" s="222">
        <v>741</v>
      </c>
      <c r="P56" s="222"/>
      <c r="Q56" s="229">
        <f t="shared" si="8"/>
        <v>-100</v>
      </c>
      <c r="R56" s="230" t="s">
        <v>4</v>
      </c>
      <c r="S56" s="231">
        <v>1</v>
      </c>
    </row>
    <row r="57" spans="1:19" s="231" customFormat="1" ht="14.25">
      <c r="A57" s="227">
        <v>11</v>
      </c>
      <c r="B57" s="228" t="s">
        <v>62</v>
      </c>
      <c r="C57" s="222">
        <v>45</v>
      </c>
      <c r="D57" s="222">
        <f>'[6]1.RSP Districts '!D57</f>
        <v>45</v>
      </c>
      <c r="E57" s="222">
        <v>45</v>
      </c>
      <c r="F57" s="229">
        <f t="shared" si="5"/>
        <v>0</v>
      </c>
      <c r="G57" s="229">
        <f t="shared" si="6"/>
        <v>100</v>
      </c>
      <c r="H57" s="222">
        <f>'[6]1.RSP Districts '!H57</f>
        <v>157</v>
      </c>
      <c r="I57" s="222">
        <v>157</v>
      </c>
      <c r="J57" s="222">
        <v>94383</v>
      </c>
      <c r="K57" s="222">
        <v>41322</v>
      </c>
      <c r="L57" s="222">
        <f>+K57+3152</f>
        <v>44474</v>
      </c>
      <c r="M57" s="229">
        <f t="shared" si="7"/>
        <v>7.627897972024587</v>
      </c>
      <c r="N57" s="229">
        <f t="shared" si="9"/>
        <v>47.120773868175412</v>
      </c>
      <c r="O57" s="222">
        <v>1331</v>
      </c>
      <c r="P57" s="222">
        <v>1475</v>
      </c>
      <c r="Q57" s="229">
        <f t="shared" si="8"/>
        <v>10.818933132982719</v>
      </c>
      <c r="R57" s="230" t="s">
        <v>9</v>
      </c>
      <c r="S57" s="231">
        <v>1</v>
      </c>
    </row>
    <row r="58" spans="1:19" ht="14.25" hidden="1">
      <c r="A58" s="22">
        <v>11</v>
      </c>
      <c r="B58" s="23" t="s">
        <v>62</v>
      </c>
      <c r="C58" s="24">
        <v>45</v>
      </c>
      <c r="D58" s="38">
        <f>'[2]1.RSP Districts '!D58</f>
        <v>2</v>
      </c>
      <c r="E58" s="38"/>
      <c r="F58" s="102">
        <f t="shared" si="5"/>
        <v>-100</v>
      </c>
      <c r="G58" s="102">
        <f t="shared" si="6"/>
        <v>0</v>
      </c>
      <c r="H58" s="38">
        <f>'[2]1.RSP Districts '!H58</f>
        <v>16</v>
      </c>
      <c r="I58" s="38"/>
      <c r="J58" s="24">
        <v>94383</v>
      </c>
      <c r="K58" s="38">
        <v>2505</v>
      </c>
      <c r="L58" s="38"/>
      <c r="M58" s="102">
        <f t="shared" si="7"/>
        <v>-100</v>
      </c>
      <c r="N58" s="102">
        <f t="shared" si="9"/>
        <v>0</v>
      </c>
      <c r="O58" s="38">
        <v>161</v>
      </c>
      <c r="P58" s="38"/>
      <c r="Q58" s="102">
        <f t="shared" si="8"/>
        <v>-100</v>
      </c>
      <c r="R58" s="26" t="s">
        <v>5</v>
      </c>
      <c r="S58" s="1">
        <v>1</v>
      </c>
    </row>
    <row r="59" spans="1:19" s="231" customFormat="1" ht="14.25">
      <c r="A59" s="227">
        <v>12</v>
      </c>
      <c r="B59" s="228" t="s">
        <v>63</v>
      </c>
      <c r="C59" s="222">
        <v>21</v>
      </c>
      <c r="D59" s="222">
        <v>21</v>
      </c>
      <c r="E59" s="222">
        <v>21</v>
      </c>
      <c r="F59" s="229">
        <f t="shared" si="5"/>
        <v>0</v>
      </c>
      <c r="G59" s="229">
        <f t="shared" si="6"/>
        <v>100</v>
      </c>
      <c r="H59" s="222">
        <f>'[6]1.RSP Districts '!H59</f>
        <v>117</v>
      </c>
      <c r="I59" s="222">
        <v>117</v>
      </c>
      <c r="J59" s="222">
        <v>40734</v>
      </c>
      <c r="K59" s="222">
        <v>49483</v>
      </c>
      <c r="L59" s="222">
        <v>49483</v>
      </c>
      <c r="M59" s="229">
        <f t="shared" si="7"/>
        <v>0</v>
      </c>
      <c r="N59" s="229">
        <f t="shared" si="9"/>
        <v>121.47837187607405</v>
      </c>
      <c r="O59" s="222">
        <v>1997</v>
      </c>
      <c r="P59" s="222">
        <v>1997</v>
      </c>
      <c r="Q59" s="229">
        <f t="shared" si="8"/>
        <v>0</v>
      </c>
      <c r="R59" s="230" t="s">
        <v>9</v>
      </c>
      <c r="S59" s="231">
        <v>1</v>
      </c>
    </row>
    <row r="60" spans="1:19" s="231" customFormat="1" ht="14.25">
      <c r="A60" s="227">
        <v>13</v>
      </c>
      <c r="B60" s="228" t="s">
        <v>64</v>
      </c>
      <c r="C60" s="222">
        <v>32</v>
      </c>
      <c r="D60" s="222">
        <f>'[6]1.RSP Districts '!D60</f>
        <v>32</v>
      </c>
      <c r="E60" s="222">
        <v>32</v>
      </c>
      <c r="F60" s="229">
        <f t="shared" si="5"/>
        <v>0</v>
      </c>
      <c r="G60" s="229">
        <f t="shared" si="6"/>
        <v>100</v>
      </c>
      <c r="H60" s="222">
        <f>'[6]1.RSP Districts '!H60</f>
        <v>243</v>
      </c>
      <c r="I60" s="222">
        <v>243</v>
      </c>
      <c r="J60" s="222">
        <v>55911</v>
      </c>
      <c r="K60" s="222">
        <v>69685</v>
      </c>
      <c r="L60" s="222">
        <v>69685</v>
      </c>
      <c r="M60" s="229">
        <f t="shared" si="7"/>
        <v>0</v>
      </c>
      <c r="N60" s="229">
        <f t="shared" si="9"/>
        <v>124.6355815492479</v>
      </c>
      <c r="O60" s="222">
        <v>3129</v>
      </c>
      <c r="P60" s="222">
        <v>3129</v>
      </c>
      <c r="Q60" s="229">
        <f t="shared" si="8"/>
        <v>0</v>
      </c>
      <c r="R60" s="230" t="s">
        <v>9</v>
      </c>
      <c r="S60" s="231">
        <v>1</v>
      </c>
    </row>
    <row r="61" spans="1:19" s="231" customFormat="1" ht="14.25">
      <c r="A61" s="227">
        <v>14</v>
      </c>
      <c r="B61" s="228" t="s">
        <v>65</v>
      </c>
      <c r="C61" s="222">
        <v>38</v>
      </c>
      <c r="D61" s="222">
        <f>'[6]1.RSP Districts '!D61</f>
        <v>38</v>
      </c>
      <c r="E61" s="222">
        <v>38</v>
      </c>
      <c r="F61" s="229">
        <f t="shared" si="5"/>
        <v>0</v>
      </c>
      <c r="G61" s="229">
        <f t="shared" si="6"/>
        <v>100</v>
      </c>
      <c r="H61" s="222">
        <f>'[6]1.RSP Districts '!H61</f>
        <v>132</v>
      </c>
      <c r="I61" s="222">
        <v>132</v>
      </c>
      <c r="J61" s="222">
        <v>74041</v>
      </c>
      <c r="K61" s="222">
        <v>34916</v>
      </c>
      <c r="L61" s="222">
        <v>34916</v>
      </c>
      <c r="M61" s="229">
        <f t="shared" si="7"/>
        <v>0</v>
      </c>
      <c r="N61" s="229">
        <f t="shared" si="9"/>
        <v>47.157655893356385</v>
      </c>
      <c r="O61" s="222">
        <v>2301</v>
      </c>
      <c r="P61" s="222">
        <v>2301</v>
      </c>
      <c r="Q61" s="229">
        <f t="shared" si="8"/>
        <v>0</v>
      </c>
      <c r="R61" s="230" t="s">
        <v>9</v>
      </c>
      <c r="S61" s="231">
        <v>1</v>
      </c>
    </row>
    <row r="62" spans="1:19" ht="14.25" hidden="1">
      <c r="A62" s="22">
        <v>15</v>
      </c>
      <c r="B62" s="23" t="s">
        <v>197</v>
      </c>
      <c r="C62" s="24">
        <v>33</v>
      </c>
      <c r="D62" s="24">
        <v>0</v>
      </c>
      <c r="E62" s="24"/>
      <c r="F62" s="102">
        <v>0</v>
      </c>
      <c r="G62" s="102">
        <f t="shared" si="6"/>
        <v>0</v>
      </c>
      <c r="H62" s="102"/>
      <c r="I62" s="102"/>
      <c r="J62" s="164">
        <v>48700</v>
      </c>
      <c r="K62" s="24"/>
      <c r="L62" s="24"/>
      <c r="M62" s="102">
        <v>0</v>
      </c>
      <c r="N62" s="102">
        <v>0</v>
      </c>
      <c r="O62" s="24"/>
      <c r="P62" s="25"/>
      <c r="Q62" s="102">
        <v>0</v>
      </c>
      <c r="R62" s="79">
        <v>0</v>
      </c>
      <c r="S62" s="1">
        <v>1</v>
      </c>
    </row>
    <row r="63" spans="1:19" s="231" customFormat="1" ht="14.25" hidden="1">
      <c r="A63" s="227">
        <v>16</v>
      </c>
      <c r="B63" s="228" t="s">
        <v>66</v>
      </c>
      <c r="C63" s="222">
        <v>28</v>
      </c>
      <c r="D63" s="232">
        <f>'[2]1.RSP Districts '!D63</f>
        <v>25</v>
      </c>
      <c r="E63" s="232"/>
      <c r="F63" s="229">
        <f t="shared" si="5"/>
        <v>-100</v>
      </c>
      <c r="G63" s="229">
        <f t="shared" si="6"/>
        <v>0</v>
      </c>
      <c r="H63" s="232">
        <f>'[2]1.RSP Districts '!H63</f>
        <v>193</v>
      </c>
      <c r="I63" s="232"/>
      <c r="J63" s="222">
        <v>45731</v>
      </c>
      <c r="K63" s="232">
        <v>29040</v>
      </c>
      <c r="L63" s="232"/>
      <c r="M63" s="229">
        <f t="shared" si="7"/>
        <v>-100.00000000000001</v>
      </c>
      <c r="N63" s="229">
        <f t="shared" si="9"/>
        <v>0</v>
      </c>
      <c r="O63" s="232">
        <v>1848</v>
      </c>
      <c r="P63" s="232"/>
      <c r="Q63" s="229">
        <f t="shared" si="8"/>
        <v>-100</v>
      </c>
      <c r="R63" s="230" t="s">
        <v>5</v>
      </c>
      <c r="S63" s="231">
        <v>1</v>
      </c>
    </row>
    <row r="64" spans="1:19" s="231" customFormat="1" ht="14.25">
      <c r="A64" s="227">
        <v>16</v>
      </c>
      <c r="B64" s="228" t="s">
        <v>236</v>
      </c>
      <c r="C64" s="222">
        <v>28</v>
      </c>
      <c r="D64" s="222">
        <f>'[6]1.RSP Districts '!D64</f>
        <v>12</v>
      </c>
      <c r="E64" s="222">
        <v>13</v>
      </c>
      <c r="F64" s="229">
        <f t="shared" si="5"/>
        <v>8.3333333333333339</v>
      </c>
      <c r="G64" s="229">
        <f t="shared" si="6"/>
        <v>46.428571428571423</v>
      </c>
      <c r="H64" s="222">
        <v>43</v>
      </c>
      <c r="I64" s="222">
        <v>43</v>
      </c>
      <c r="J64" s="222">
        <v>45731</v>
      </c>
      <c r="K64" s="222">
        <v>4129</v>
      </c>
      <c r="L64" s="222">
        <v>9946</v>
      </c>
      <c r="M64" s="229">
        <f t="shared" si="7"/>
        <v>140.88156938726084</v>
      </c>
      <c r="N64" s="229">
        <f t="shared" si="9"/>
        <v>21.748923050009839</v>
      </c>
      <c r="O64" s="222">
        <v>217</v>
      </c>
      <c r="P64" s="222">
        <v>307</v>
      </c>
      <c r="Q64" s="229">
        <f t="shared" si="8"/>
        <v>41.474654377880185</v>
      </c>
      <c r="R64" s="230" t="s">
        <v>9</v>
      </c>
      <c r="S64" s="231">
        <v>1</v>
      </c>
    </row>
    <row r="65" spans="1:19" s="231" customFormat="1" ht="14.25">
      <c r="A65" s="227">
        <v>17</v>
      </c>
      <c r="B65" s="228" t="s">
        <v>67</v>
      </c>
      <c r="C65" s="222">
        <v>59</v>
      </c>
      <c r="D65" s="222">
        <f>'[6]1.RSP Districts '!D65</f>
        <v>55</v>
      </c>
      <c r="E65" s="222">
        <v>55</v>
      </c>
      <c r="F65" s="229">
        <f t="shared" si="5"/>
        <v>0</v>
      </c>
      <c r="G65" s="229">
        <f t="shared" si="6"/>
        <v>93.220338983050851</v>
      </c>
      <c r="H65" s="222">
        <f>'[6]1.RSP Districts '!H65</f>
        <v>390</v>
      </c>
      <c r="I65" s="222">
        <v>390</v>
      </c>
      <c r="J65" s="222">
        <v>167833</v>
      </c>
      <c r="K65" s="222">
        <v>109901</v>
      </c>
      <c r="L65" s="222">
        <f>+K65+665</f>
        <v>110566</v>
      </c>
      <c r="M65" s="229">
        <f t="shared" si="7"/>
        <v>0.60509003557747432</v>
      </c>
      <c r="N65" s="229">
        <f t="shared" si="9"/>
        <v>65.878581685365816</v>
      </c>
      <c r="O65" s="222">
        <v>3836</v>
      </c>
      <c r="P65" s="222">
        <v>3865</v>
      </c>
      <c r="Q65" s="229">
        <f t="shared" si="8"/>
        <v>0.75599582898852968</v>
      </c>
      <c r="R65" s="230" t="s">
        <v>9</v>
      </c>
      <c r="S65" s="231">
        <v>1</v>
      </c>
    </row>
    <row r="66" spans="1:19" ht="14.25" hidden="1">
      <c r="A66" s="22">
        <v>18</v>
      </c>
      <c r="B66" s="23" t="s">
        <v>68</v>
      </c>
      <c r="C66" s="24">
        <v>75</v>
      </c>
      <c r="D66" s="38">
        <f>'[2]1.RSP Districts '!D66</f>
        <v>63</v>
      </c>
      <c r="E66" s="38"/>
      <c r="F66" s="102">
        <f t="shared" si="5"/>
        <v>-100</v>
      </c>
      <c r="G66" s="102">
        <f t="shared" si="6"/>
        <v>0</v>
      </c>
      <c r="H66" s="38">
        <f>'[2]1.RSP Districts '!H66</f>
        <v>187</v>
      </c>
      <c r="I66" s="38"/>
      <c r="J66" s="24">
        <v>141386</v>
      </c>
      <c r="K66" s="38">
        <v>53799</v>
      </c>
      <c r="L66" s="38"/>
      <c r="M66" s="102">
        <f t="shared" si="7"/>
        <v>-100</v>
      </c>
      <c r="N66" s="102">
        <f t="shared" si="9"/>
        <v>0</v>
      </c>
      <c r="O66" s="38">
        <v>3781</v>
      </c>
      <c r="P66" s="38"/>
      <c r="Q66" s="102">
        <f t="shared" si="8"/>
        <v>-100</v>
      </c>
      <c r="R66" s="26" t="s">
        <v>5</v>
      </c>
      <c r="S66" s="1">
        <v>1</v>
      </c>
    </row>
    <row r="67" spans="1:19" ht="14.25">
      <c r="A67" s="22">
        <v>18</v>
      </c>
      <c r="B67" s="23" t="s">
        <v>279</v>
      </c>
      <c r="C67" s="24">
        <v>75</v>
      </c>
      <c r="D67" s="24">
        <f>'[6]1.RSP Districts '!D67</f>
        <v>20</v>
      </c>
      <c r="E67" s="24">
        <v>20</v>
      </c>
      <c r="F67" s="229">
        <f t="shared" si="5"/>
        <v>0</v>
      </c>
      <c r="G67" s="102">
        <f t="shared" si="6"/>
        <v>26.666666666666668</v>
      </c>
      <c r="H67" s="24">
        <f>'[6]1.RSP Districts '!H67</f>
        <v>63</v>
      </c>
      <c r="I67" s="24"/>
      <c r="J67" s="24">
        <v>141386</v>
      </c>
      <c r="K67" s="24">
        <v>42732</v>
      </c>
      <c r="L67" s="24">
        <v>42732</v>
      </c>
      <c r="M67" s="102">
        <f t="shared" si="7"/>
        <v>0</v>
      </c>
      <c r="N67" s="102">
        <f t="shared" si="9"/>
        <v>30.223643076400776</v>
      </c>
      <c r="O67" s="24">
        <v>1838</v>
      </c>
      <c r="P67" s="24">
        <v>1838</v>
      </c>
      <c r="Q67" s="102">
        <f t="shared" si="8"/>
        <v>0</v>
      </c>
      <c r="R67" s="26" t="s">
        <v>9</v>
      </c>
      <c r="S67" s="1">
        <v>1</v>
      </c>
    </row>
    <row r="68" spans="1:19" s="231" customFormat="1" ht="14.25">
      <c r="A68" s="227">
        <v>19</v>
      </c>
      <c r="B68" s="228" t="s">
        <v>69</v>
      </c>
      <c r="C68" s="222">
        <v>48</v>
      </c>
      <c r="D68" s="222">
        <f>'[6]1.RSP Districts '!D68</f>
        <v>10</v>
      </c>
      <c r="E68" s="222">
        <v>10</v>
      </c>
      <c r="F68" s="229">
        <f t="shared" si="5"/>
        <v>0</v>
      </c>
      <c r="G68" s="229">
        <f t="shared" si="6"/>
        <v>20.833333333333336</v>
      </c>
      <c r="H68" s="222">
        <f>'[6]1.RSP Districts '!H68</f>
        <v>33</v>
      </c>
      <c r="I68" s="222">
        <v>33</v>
      </c>
      <c r="J68" s="222">
        <v>84851</v>
      </c>
      <c r="K68" s="222">
        <v>18235</v>
      </c>
      <c r="L68" s="222">
        <f>+K68+588</f>
        <v>18823</v>
      </c>
      <c r="M68" s="229">
        <f t="shared" si="7"/>
        <v>3.2245681381957776</v>
      </c>
      <c r="N68" s="229">
        <f t="shared" si="9"/>
        <v>22.183592414939127</v>
      </c>
      <c r="O68" s="222">
        <v>783</v>
      </c>
      <c r="P68" s="222">
        <v>813</v>
      </c>
      <c r="Q68" s="229">
        <f t="shared" si="8"/>
        <v>3.8314176245210727</v>
      </c>
      <c r="R68" s="230" t="s">
        <v>9</v>
      </c>
      <c r="S68" s="231">
        <v>1</v>
      </c>
    </row>
    <row r="69" spans="1:19" ht="14.25" hidden="1">
      <c r="A69" s="22">
        <v>19</v>
      </c>
      <c r="B69" s="23" t="s">
        <v>235</v>
      </c>
      <c r="C69" s="24">
        <v>48</v>
      </c>
      <c r="D69" s="38">
        <f>'[2]1.RSP Districts '!D69</f>
        <v>13</v>
      </c>
      <c r="E69" s="38"/>
      <c r="F69" s="102">
        <f t="shared" si="5"/>
        <v>-100</v>
      </c>
      <c r="G69" s="102">
        <f t="shared" si="6"/>
        <v>0</v>
      </c>
      <c r="H69" s="38">
        <f>'[2]1.RSP Districts '!H69</f>
        <v>176</v>
      </c>
      <c r="I69" s="38"/>
      <c r="J69" s="24">
        <v>84851</v>
      </c>
      <c r="K69" s="38">
        <v>3385</v>
      </c>
      <c r="L69" s="38"/>
      <c r="M69" s="102">
        <f t="shared" si="7"/>
        <v>-100</v>
      </c>
      <c r="N69" s="102">
        <f t="shared" si="9"/>
        <v>0</v>
      </c>
      <c r="O69" s="38">
        <v>167</v>
      </c>
      <c r="P69" s="38"/>
      <c r="Q69" s="102">
        <f t="shared" si="8"/>
        <v>-100</v>
      </c>
      <c r="R69" s="26" t="s">
        <v>5</v>
      </c>
      <c r="S69" s="1">
        <v>1</v>
      </c>
    </row>
    <row r="70" spans="1:19" s="231" customFormat="1" ht="14.25">
      <c r="A70" s="227">
        <v>20</v>
      </c>
      <c r="B70" s="228" t="s">
        <v>70</v>
      </c>
      <c r="C70" s="222">
        <v>67</v>
      </c>
      <c r="D70" s="222">
        <f>'[6]1.RSP Districts '!D70</f>
        <v>17</v>
      </c>
      <c r="E70" s="222">
        <v>17</v>
      </c>
      <c r="F70" s="229">
        <f t="shared" si="5"/>
        <v>0</v>
      </c>
      <c r="G70" s="229">
        <f t="shared" si="6"/>
        <v>25.373134328358208</v>
      </c>
      <c r="H70" s="222">
        <f>'[6]1.RSP Districts '!H70</f>
        <v>55</v>
      </c>
      <c r="I70" s="222">
        <v>55</v>
      </c>
      <c r="J70" s="222">
        <v>132070</v>
      </c>
      <c r="K70" s="222">
        <v>16089</v>
      </c>
      <c r="L70" s="222">
        <f>+K70+823</f>
        <v>16912</v>
      </c>
      <c r="M70" s="229">
        <f t="shared" si="7"/>
        <v>5.115296165081733</v>
      </c>
      <c r="N70" s="229">
        <f t="shared" si="9"/>
        <v>12.805330506549556</v>
      </c>
      <c r="O70" s="222">
        <v>795</v>
      </c>
      <c r="P70" s="222">
        <v>830</v>
      </c>
      <c r="Q70" s="229">
        <f t="shared" si="8"/>
        <v>4.4025157232704402</v>
      </c>
      <c r="R70" s="230" t="s">
        <v>9</v>
      </c>
      <c r="S70" s="231">
        <v>1</v>
      </c>
    </row>
    <row r="71" spans="1:19" s="231" customFormat="1" ht="14.25">
      <c r="A71" s="227">
        <v>21</v>
      </c>
      <c r="B71" s="228" t="s">
        <v>71</v>
      </c>
      <c r="C71" s="222">
        <v>38</v>
      </c>
      <c r="D71" s="222">
        <f>'[6]1.RSP Districts '!D71</f>
        <v>20</v>
      </c>
      <c r="E71" s="222">
        <v>28</v>
      </c>
      <c r="F71" s="229">
        <f t="shared" si="5"/>
        <v>40</v>
      </c>
      <c r="G71" s="229">
        <f t="shared" si="6"/>
        <v>73.684210526315795</v>
      </c>
      <c r="H71" s="222">
        <v>115</v>
      </c>
      <c r="I71" s="222">
        <v>115</v>
      </c>
      <c r="J71" s="222">
        <v>53994</v>
      </c>
      <c r="K71" s="222">
        <v>34688</v>
      </c>
      <c r="L71" s="222">
        <f>+K71+1684</f>
        <v>36372</v>
      </c>
      <c r="M71" s="229">
        <f t="shared" si="7"/>
        <v>4.8547047970479706</v>
      </c>
      <c r="N71" s="229">
        <f t="shared" si="9"/>
        <v>67.363040337815306</v>
      </c>
      <c r="O71" s="222">
        <v>1970</v>
      </c>
      <c r="P71" s="222">
        <v>2051</v>
      </c>
      <c r="Q71" s="229">
        <f t="shared" si="8"/>
        <v>4.1116751269035534</v>
      </c>
      <c r="R71" s="230" t="s">
        <v>9</v>
      </c>
      <c r="S71" s="231">
        <v>1</v>
      </c>
    </row>
    <row r="72" spans="1:19" ht="14.25" hidden="1">
      <c r="A72" s="22">
        <v>22</v>
      </c>
      <c r="B72" s="23" t="s">
        <v>72</v>
      </c>
      <c r="C72" s="24">
        <v>55</v>
      </c>
      <c r="D72" s="24">
        <f>'[9]1.RSP Districts '!D72</f>
        <v>6</v>
      </c>
      <c r="E72" s="24"/>
      <c r="F72" s="102">
        <f t="shared" si="5"/>
        <v>-100</v>
      </c>
      <c r="G72" s="102">
        <f t="shared" si="6"/>
        <v>0</v>
      </c>
      <c r="H72" s="24">
        <f>'[9]1.RSP Districts '!H72</f>
        <v>23</v>
      </c>
      <c r="I72" s="24"/>
      <c r="J72" s="24">
        <v>112083</v>
      </c>
      <c r="K72" s="24">
        <v>8392</v>
      </c>
      <c r="L72" s="24"/>
      <c r="M72" s="102">
        <f t="shared" si="7"/>
        <v>-100</v>
      </c>
      <c r="N72" s="102">
        <f t="shared" si="9"/>
        <v>0</v>
      </c>
      <c r="O72" s="24">
        <v>745</v>
      </c>
      <c r="P72" s="24"/>
      <c r="Q72" s="102">
        <f t="shared" si="8"/>
        <v>-100</v>
      </c>
      <c r="R72" s="26" t="s">
        <v>4</v>
      </c>
      <c r="S72" s="1">
        <v>1</v>
      </c>
    </row>
    <row r="73" spans="1:19" ht="14.25" hidden="1">
      <c r="A73" s="22">
        <v>22</v>
      </c>
      <c r="B73" s="23" t="s">
        <v>73</v>
      </c>
      <c r="C73" s="24">
        <v>55</v>
      </c>
      <c r="D73" s="38">
        <f>'[2]1.RSP Districts '!D73</f>
        <v>38</v>
      </c>
      <c r="E73" s="38"/>
      <c r="F73" s="102">
        <f t="shared" si="5"/>
        <v>-100</v>
      </c>
      <c r="G73" s="102">
        <f t="shared" si="6"/>
        <v>0</v>
      </c>
      <c r="H73" s="38">
        <f>'[2]1.RSP Districts '!H73</f>
        <v>179</v>
      </c>
      <c r="I73" s="38"/>
      <c r="J73" s="24">
        <v>112083</v>
      </c>
      <c r="K73" s="38">
        <v>27011</v>
      </c>
      <c r="L73" s="38"/>
      <c r="M73" s="102">
        <f t="shared" si="7"/>
        <v>-100</v>
      </c>
      <c r="N73" s="102">
        <f t="shared" si="9"/>
        <v>0</v>
      </c>
      <c r="O73" s="38">
        <v>1716</v>
      </c>
      <c r="P73" s="38"/>
      <c r="Q73" s="102">
        <f t="shared" si="8"/>
        <v>-100</v>
      </c>
      <c r="R73" s="26" t="s">
        <v>5</v>
      </c>
      <c r="S73" s="1">
        <v>1</v>
      </c>
    </row>
    <row r="74" spans="1:19" ht="14.25" hidden="1">
      <c r="A74" s="22">
        <v>23</v>
      </c>
      <c r="B74" s="23" t="s">
        <v>74</v>
      </c>
      <c r="C74" s="24">
        <v>65</v>
      </c>
      <c r="D74" s="38">
        <f>'[2]1.RSP Districts '!D74</f>
        <v>19</v>
      </c>
      <c r="E74" s="38"/>
      <c r="F74" s="102">
        <f t="shared" si="5"/>
        <v>-100</v>
      </c>
      <c r="G74" s="102">
        <f t="shared" si="6"/>
        <v>0</v>
      </c>
      <c r="H74" s="38">
        <f>'[2]1.RSP Districts '!H74</f>
        <v>224</v>
      </c>
      <c r="I74" s="38"/>
      <c r="J74" s="24">
        <v>125377</v>
      </c>
      <c r="K74" s="38">
        <v>7248</v>
      </c>
      <c r="L74" s="38"/>
      <c r="M74" s="102">
        <f t="shared" si="7"/>
        <v>-100</v>
      </c>
      <c r="N74" s="102">
        <f t="shared" si="9"/>
        <v>0</v>
      </c>
      <c r="O74" s="38">
        <v>342</v>
      </c>
      <c r="P74" s="38"/>
      <c r="Q74" s="102">
        <f t="shared" si="8"/>
        <v>-100</v>
      </c>
      <c r="R74" s="26" t="s">
        <v>5</v>
      </c>
      <c r="S74" s="1">
        <v>1</v>
      </c>
    </row>
    <row r="75" spans="1:19" ht="14.25">
      <c r="A75" s="22">
        <v>23</v>
      </c>
      <c r="B75" s="23" t="s">
        <v>75</v>
      </c>
      <c r="C75" s="24">
        <v>65</v>
      </c>
      <c r="D75" s="24">
        <v>65</v>
      </c>
      <c r="E75" s="24">
        <v>65</v>
      </c>
      <c r="F75" s="229">
        <f t="shared" si="5"/>
        <v>0</v>
      </c>
      <c r="G75" s="102">
        <f t="shared" si="6"/>
        <v>100</v>
      </c>
      <c r="H75" s="24">
        <v>132</v>
      </c>
      <c r="I75" s="24">
        <v>132</v>
      </c>
      <c r="J75" s="24">
        <v>125377</v>
      </c>
      <c r="K75" s="24">
        <v>23560</v>
      </c>
      <c r="L75" s="24">
        <f>+K75+5250</f>
        <v>28810</v>
      </c>
      <c r="M75" s="102">
        <f t="shared" si="7"/>
        <v>22.283531409168081</v>
      </c>
      <c r="N75" s="102">
        <f t="shared" si="9"/>
        <v>22.978696252103656</v>
      </c>
      <c r="O75" s="24">
        <v>1161</v>
      </c>
      <c r="P75" s="24">
        <v>1623</v>
      </c>
      <c r="Q75" s="102">
        <f t="shared" si="8"/>
        <v>39.793281653746774</v>
      </c>
      <c r="R75" s="26" t="s">
        <v>9</v>
      </c>
      <c r="S75" s="1">
        <v>1</v>
      </c>
    </row>
    <row r="76" spans="1:19" ht="14.25" hidden="1">
      <c r="A76" s="36">
        <v>24</v>
      </c>
      <c r="B76" s="37" t="s">
        <v>196</v>
      </c>
      <c r="C76" s="38">
        <v>16</v>
      </c>
      <c r="D76" s="24">
        <v>0</v>
      </c>
      <c r="E76" s="38"/>
      <c r="F76" s="134">
        <v>0</v>
      </c>
      <c r="G76" s="134">
        <f t="shared" si="6"/>
        <v>0</v>
      </c>
      <c r="H76" s="134"/>
      <c r="I76" s="134"/>
      <c r="J76" s="164">
        <v>22411</v>
      </c>
      <c r="K76" s="24"/>
      <c r="L76" s="38"/>
      <c r="M76" s="134">
        <v>0</v>
      </c>
      <c r="N76" s="134">
        <v>0</v>
      </c>
      <c r="O76" s="24"/>
      <c r="P76" s="40"/>
      <c r="Q76" s="134">
        <v>0</v>
      </c>
      <c r="R76" s="88">
        <v>0</v>
      </c>
      <c r="S76" s="1">
        <v>1</v>
      </c>
    </row>
    <row r="77" spans="1:19" s="4" customFormat="1" ht="15.75" hidden="1" thickBot="1">
      <c r="A77" s="150">
        <f>COUNTIF(R43:R76,"*")-9</f>
        <v>22</v>
      </c>
      <c r="B77" s="149" t="s">
        <v>76</v>
      </c>
      <c r="C77" s="56">
        <f>SUM(C43:C76)-(C47+C48+C51+C56+C67+C72+C75+C68+C64+C57)</f>
        <v>974</v>
      </c>
      <c r="D77" s="56">
        <f>SUM(D43:D76)-(D47+D48+D51+D56+D67+D72+D75+D68+D64+D57)</f>
        <v>564</v>
      </c>
      <c r="E77" s="56">
        <f>SUM(E43:E76)-(E47+E48+E51+E56+E67+E72+E75+E68+E64+E57)</f>
        <v>415</v>
      </c>
      <c r="F77" s="151">
        <f t="shared" si="5"/>
        <v>-26.418439716312058</v>
      </c>
      <c r="G77" s="151">
        <f t="shared" si="6"/>
        <v>42.607802874743328</v>
      </c>
      <c r="H77" s="151">
        <f>SUM(H43:H76)</f>
        <v>5137</v>
      </c>
      <c r="I77" s="151">
        <f>SUM(I43:I76)</f>
        <v>3357</v>
      </c>
      <c r="J77" s="56">
        <f>SUM(J43:J76)-(J47+J48+J51+J56+J67+J72+J75+J68+J64+J57)</f>
        <v>1889904</v>
      </c>
      <c r="K77" s="218">
        <f>SUM(K43:K76)</f>
        <v>854588</v>
      </c>
      <c r="L77" s="56">
        <f>SUM(L43:L76)</f>
        <v>906674</v>
      </c>
      <c r="M77" s="151">
        <f t="shared" si="7"/>
        <v>6.0948667662078106</v>
      </c>
      <c r="N77" s="151">
        <f t="shared" si="9"/>
        <v>47.974606117559411</v>
      </c>
      <c r="O77" s="218">
        <f>SUM(O43:O76)</f>
        <v>39117</v>
      </c>
      <c r="P77" s="56">
        <f>SUM(P43:P76)</f>
        <v>30166</v>
      </c>
      <c r="Q77" s="151">
        <f t="shared" si="8"/>
        <v>-22.882634148835542</v>
      </c>
      <c r="R77" s="153"/>
      <c r="S77" s="1">
        <v>1</v>
      </c>
    </row>
    <row r="78" spans="1:19" ht="8.25" hidden="1" customHeight="1" thickBot="1">
      <c r="A78" s="12"/>
      <c r="B78" s="13"/>
      <c r="C78" s="58"/>
      <c r="D78" s="27"/>
      <c r="E78" s="27"/>
      <c r="F78" s="103"/>
      <c r="G78" s="103"/>
      <c r="H78" s="103"/>
      <c r="I78" s="103"/>
      <c r="J78" s="58"/>
      <c r="K78" s="27"/>
      <c r="L78" s="27"/>
      <c r="M78" s="27"/>
      <c r="N78" s="27"/>
      <c r="O78" s="27"/>
      <c r="P78" s="27"/>
      <c r="Q78" s="27"/>
      <c r="R78" s="14"/>
      <c r="S78" s="1">
        <v>1</v>
      </c>
    </row>
    <row r="79" spans="1:19" s="5" customFormat="1" ht="14.25" hidden="1" customHeight="1">
      <c r="A79" s="17" t="s">
        <v>77</v>
      </c>
      <c r="B79" s="18"/>
      <c r="C79" s="19"/>
      <c r="D79" s="28"/>
      <c r="E79" s="28"/>
      <c r="F79" s="104"/>
      <c r="G79" s="104"/>
      <c r="H79" s="104"/>
      <c r="I79" s="104"/>
      <c r="J79" s="19"/>
      <c r="K79" s="28"/>
      <c r="L79" s="28"/>
      <c r="M79" s="28"/>
      <c r="N79" s="28"/>
      <c r="O79" s="28"/>
      <c r="P79" s="28"/>
      <c r="Q79" s="28"/>
      <c r="R79" s="21"/>
      <c r="S79" s="1">
        <v>1</v>
      </c>
    </row>
    <row r="80" spans="1:19" ht="14.25" hidden="1" customHeight="1">
      <c r="A80" s="22">
        <v>1</v>
      </c>
      <c r="B80" s="23" t="s">
        <v>78</v>
      </c>
      <c r="C80" s="24">
        <v>46</v>
      </c>
      <c r="D80" s="38">
        <f>'[2]1.RSP Districts '!D80</f>
        <v>46</v>
      </c>
      <c r="E80" s="38"/>
      <c r="F80" s="102">
        <f t="shared" ref="F80:F103" si="10">(E80-D80)/D80%</f>
        <v>-100</v>
      </c>
      <c r="G80" s="102">
        <f t="shared" ref="G80:G103" si="11">E80/C80%</f>
        <v>0</v>
      </c>
      <c r="H80" s="38">
        <f>'[2]1.RSP Districts '!H80</f>
        <v>349</v>
      </c>
      <c r="I80" s="38"/>
      <c r="J80" s="29">
        <v>185266</v>
      </c>
      <c r="K80" s="38">
        <v>107469</v>
      </c>
      <c r="L80" s="38"/>
      <c r="M80" s="102">
        <f t="shared" ref="M80:M103" si="12">(L80-K80)/K80%</f>
        <v>-100</v>
      </c>
      <c r="N80" s="102">
        <f t="shared" ref="N80:N103" si="13">L80/J80%</f>
        <v>0</v>
      </c>
      <c r="O80" s="38">
        <v>5922</v>
      </c>
      <c r="P80" s="38"/>
      <c r="Q80" s="102">
        <f t="shared" ref="Q80:Q103" si="14">(P80-O80)/O80%</f>
        <v>-100</v>
      </c>
      <c r="R80" s="30" t="s">
        <v>5</v>
      </c>
      <c r="S80" s="1">
        <v>1</v>
      </c>
    </row>
    <row r="81" spans="1:19" ht="14.25" hidden="1" customHeight="1">
      <c r="A81" s="22">
        <v>2</v>
      </c>
      <c r="B81" s="23" t="s">
        <v>79</v>
      </c>
      <c r="C81" s="24">
        <v>52</v>
      </c>
      <c r="D81" s="24">
        <f>'[10]1.RSP Districts '!D81</f>
        <v>30</v>
      </c>
      <c r="E81" s="24"/>
      <c r="F81" s="102">
        <f t="shared" si="10"/>
        <v>-100</v>
      </c>
      <c r="G81" s="102">
        <f t="shared" si="11"/>
        <v>0</v>
      </c>
      <c r="H81" s="24">
        <f>'[10]1.RSP Districts '!H81</f>
        <v>131</v>
      </c>
      <c r="I81" s="24"/>
      <c r="J81" s="24">
        <v>164849</v>
      </c>
      <c r="K81" s="24">
        <v>37461</v>
      </c>
      <c r="L81" s="24"/>
      <c r="M81" s="102">
        <f t="shared" si="12"/>
        <v>-100</v>
      </c>
      <c r="N81" s="102">
        <f t="shared" si="13"/>
        <v>0</v>
      </c>
      <c r="O81" s="24">
        <v>1568</v>
      </c>
      <c r="P81" s="24"/>
      <c r="Q81" s="102">
        <f t="shared" si="14"/>
        <v>-100</v>
      </c>
      <c r="R81" s="31" t="s">
        <v>10</v>
      </c>
      <c r="S81" s="1">
        <v>1</v>
      </c>
    </row>
    <row r="82" spans="1:19" ht="14.25" hidden="1" customHeight="1">
      <c r="A82" s="22">
        <v>3</v>
      </c>
      <c r="B82" s="23" t="s">
        <v>80</v>
      </c>
      <c r="C82" s="33">
        <v>46</v>
      </c>
      <c r="D82" s="24">
        <f>'[12]1.RSP Districts '!D82</f>
        <v>37</v>
      </c>
      <c r="E82" s="24"/>
      <c r="F82" s="102">
        <f t="shared" si="10"/>
        <v>-100</v>
      </c>
      <c r="G82" s="102">
        <f t="shared" si="11"/>
        <v>0</v>
      </c>
      <c r="H82" s="24">
        <f>'[12]1.RSP Districts '!H82</f>
        <v>283</v>
      </c>
      <c r="I82" s="24"/>
      <c r="J82" s="24">
        <v>158489</v>
      </c>
      <c r="K82" s="24">
        <v>123054</v>
      </c>
      <c r="L82" s="24"/>
      <c r="M82" s="102">
        <f t="shared" si="12"/>
        <v>-100</v>
      </c>
      <c r="N82" s="102">
        <f t="shared" si="13"/>
        <v>0</v>
      </c>
      <c r="O82" s="24">
        <v>6961</v>
      </c>
      <c r="P82" s="24"/>
      <c r="Q82" s="102">
        <f t="shared" si="14"/>
        <v>-100</v>
      </c>
      <c r="R82" s="30" t="s">
        <v>8</v>
      </c>
      <c r="S82" s="1">
        <v>1</v>
      </c>
    </row>
    <row r="83" spans="1:19" ht="14.25" hidden="1" customHeight="1">
      <c r="A83" s="22">
        <v>4</v>
      </c>
      <c r="B83" s="23" t="s">
        <v>81</v>
      </c>
      <c r="C83" s="24">
        <v>37</v>
      </c>
      <c r="D83" s="38">
        <f>'[2]1.RSP Districts '!D83</f>
        <v>20</v>
      </c>
      <c r="E83" s="38"/>
      <c r="F83" s="102">
        <f t="shared" si="10"/>
        <v>-100</v>
      </c>
      <c r="G83" s="102">
        <f t="shared" si="11"/>
        <v>0</v>
      </c>
      <c r="H83" s="38">
        <f>'[2]1.RSP Districts '!H83</f>
        <v>121</v>
      </c>
      <c r="I83" s="38"/>
      <c r="J83" s="29">
        <v>128856</v>
      </c>
      <c r="K83" s="38">
        <v>11959</v>
      </c>
      <c r="L83" s="38"/>
      <c r="M83" s="102">
        <f t="shared" si="12"/>
        <v>-100</v>
      </c>
      <c r="N83" s="102">
        <f t="shared" si="13"/>
        <v>0</v>
      </c>
      <c r="O83" s="38">
        <v>723</v>
      </c>
      <c r="P83" s="38"/>
      <c r="Q83" s="102">
        <f t="shared" si="14"/>
        <v>-100</v>
      </c>
      <c r="R83" s="30" t="s">
        <v>5</v>
      </c>
      <c r="S83" s="1">
        <v>1</v>
      </c>
    </row>
    <row r="84" spans="1:19" ht="14.25" hidden="1" customHeight="1">
      <c r="A84" s="22">
        <v>5</v>
      </c>
      <c r="B84" s="23" t="s">
        <v>82</v>
      </c>
      <c r="C84" s="24">
        <v>40</v>
      </c>
      <c r="D84" s="24">
        <f>'[12]1.RSP Districts '!D84</f>
        <v>29</v>
      </c>
      <c r="E84" s="24"/>
      <c r="F84" s="102">
        <f t="shared" si="10"/>
        <v>-100</v>
      </c>
      <c r="G84" s="102">
        <f t="shared" si="11"/>
        <v>0</v>
      </c>
      <c r="H84" s="24">
        <f>'[12]1.RSP Districts '!H84</f>
        <v>204</v>
      </c>
      <c r="I84" s="24"/>
      <c r="J84" s="24">
        <v>90682.077922077922</v>
      </c>
      <c r="K84" s="24">
        <v>84893</v>
      </c>
      <c r="L84" s="24"/>
      <c r="M84" s="102">
        <f t="shared" si="12"/>
        <v>-100</v>
      </c>
      <c r="N84" s="102">
        <f t="shared" si="13"/>
        <v>0</v>
      </c>
      <c r="O84" s="24">
        <v>5074</v>
      </c>
      <c r="P84" s="24"/>
      <c r="Q84" s="102">
        <f t="shared" si="14"/>
        <v>-100</v>
      </c>
      <c r="R84" s="30" t="s">
        <v>8</v>
      </c>
      <c r="S84" s="1">
        <v>1</v>
      </c>
    </row>
    <row r="85" spans="1:19" ht="14.25" hidden="1" customHeight="1">
      <c r="A85" s="22">
        <v>6</v>
      </c>
      <c r="B85" s="23" t="s">
        <v>83</v>
      </c>
      <c r="C85" s="24">
        <v>28</v>
      </c>
      <c r="D85" s="24">
        <f>'[10]1.RSP Districts '!D85</f>
        <v>12</v>
      </c>
      <c r="E85" s="24"/>
      <c r="F85" s="102">
        <f t="shared" si="10"/>
        <v>-100</v>
      </c>
      <c r="G85" s="102">
        <f t="shared" si="11"/>
        <v>0</v>
      </c>
      <c r="H85" s="24">
        <f>'[10]1.RSP Districts '!H85</f>
        <v>78</v>
      </c>
      <c r="I85" s="24"/>
      <c r="J85" s="24">
        <v>88816</v>
      </c>
      <c r="K85" s="24">
        <v>26980</v>
      </c>
      <c r="L85" s="24"/>
      <c r="M85" s="102">
        <f t="shared" si="12"/>
        <v>-100</v>
      </c>
      <c r="N85" s="102">
        <f t="shared" si="13"/>
        <v>0</v>
      </c>
      <c r="O85" s="24">
        <v>571</v>
      </c>
      <c r="P85" s="24"/>
      <c r="Q85" s="102">
        <f t="shared" si="14"/>
        <v>-100</v>
      </c>
      <c r="R85" s="31" t="s">
        <v>10</v>
      </c>
      <c r="S85" s="1">
        <v>1</v>
      </c>
    </row>
    <row r="86" spans="1:19" ht="14.25" hidden="1" customHeight="1">
      <c r="A86" s="22">
        <v>7</v>
      </c>
      <c r="B86" s="23" t="s">
        <v>198</v>
      </c>
      <c r="C86" s="24">
        <v>0</v>
      </c>
      <c r="D86" s="24">
        <v>0</v>
      </c>
      <c r="E86" s="24"/>
      <c r="F86" s="102">
        <v>0</v>
      </c>
      <c r="G86" s="102">
        <v>0</v>
      </c>
      <c r="H86" s="102">
        <v>0</v>
      </c>
      <c r="I86" s="102"/>
      <c r="J86" s="24">
        <v>0</v>
      </c>
      <c r="K86" s="24">
        <v>0</v>
      </c>
      <c r="L86" s="24"/>
      <c r="M86" s="102">
        <v>0</v>
      </c>
      <c r="N86" s="102">
        <v>0</v>
      </c>
      <c r="O86" s="24">
        <v>0</v>
      </c>
      <c r="P86" s="25"/>
      <c r="Q86" s="102">
        <v>0</v>
      </c>
      <c r="R86" s="79">
        <v>0</v>
      </c>
      <c r="S86" s="1">
        <v>1</v>
      </c>
    </row>
    <row r="87" spans="1:19" ht="14.25" hidden="1" customHeight="1">
      <c r="A87" s="22">
        <v>8</v>
      </c>
      <c r="B87" s="23" t="s">
        <v>84</v>
      </c>
      <c r="C87" s="24">
        <v>37</v>
      </c>
      <c r="D87" s="24">
        <f>'[12]1.RSP Districts '!D87</f>
        <v>37</v>
      </c>
      <c r="E87" s="24"/>
      <c r="F87" s="102">
        <f t="shared" si="10"/>
        <v>-100</v>
      </c>
      <c r="G87" s="102">
        <f t="shared" si="11"/>
        <v>0</v>
      </c>
      <c r="H87" s="24">
        <f>'[12]1.RSP Districts '!H87</f>
        <v>170</v>
      </c>
      <c r="I87" s="24"/>
      <c r="J87" s="24">
        <v>110969</v>
      </c>
      <c r="K87" s="24">
        <v>80708</v>
      </c>
      <c r="L87" s="24"/>
      <c r="M87" s="102">
        <f t="shared" si="12"/>
        <v>-100</v>
      </c>
      <c r="N87" s="102">
        <f t="shared" si="13"/>
        <v>0</v>
      </c>
      <c r="O87" s="24">
        <v>4787</v>
      </c>
      <c r="P87" s="24"/>
      <c r="Q87" s="102">
        <f t="shared" si="14"/>
        <v>-100</v>
      </c>
      <c r="R87" s="30" t="s">
        <v>8</v>
      </c>
      <c r="S87" s="1">
        <v>1</v>
      </c>
    </row>
    <row r="88" spans="1:19" ht="14.25" hidden="1" customHeight="1">
      <c r="A88" s="22">
        <v>9</v>
      </c>
      <c r="B88" s="32" t="s">
        <v>85</v>
      </c>
      <c r="C88" s="24">
        <v>76</v>
      </c>
      <c r="D88" s="24">
        <f>'[12]1.RSP Districts '!D88</f>
        <v>49</v>
      </c>
      <c r="E88" s="24"/>
      <c r="F88" s="102">
        <f t="shared" si="10"/>
        <v>-100</v>
      </c>
      <c r="G88" s="102">
        <f t="shared" si="11"/>
        <v>0</v>
      </c>
      <c r="H88" s="24">
        <f>'[12]1.RSP Districts '!H88</f>
        <v>244</v>
      </c>
      <c r="I88" s="24"/>
      <c r="J88" s="24">
        <v>208270</v>
      </c>
      <c r="K88" s="24">
        <v>70400</v>
      </c>
      <c r="L88" s="24"/>
      <c r="M88" s="102">
        <f t="shared" si="12"/>
        <v>-100</v>
      </c>
      <c r="N88" s="102">
        <f t="shared" si="13"/>
        <v>0</v>
      </c>
      <c r="O88" s="24">
        <v>4078</v>
      </c>
      <c r="P88" s="24"/>
      <c r="Q88" s="102">
        <f t="shared" si="14"/>
        <v>-100</v>
      </c>
      <c r="R88" s="30" t="s">
        <v>8</v>
      </c>
      <c r="S88" s="1">
        <v>1</v>
      </c>
    </row>
    <row r="89" spans="1:19" ht="14.25" hidden="1" customHeight="1">
      <c r="A89" s="22">
        <v>10</v>
      </c>
      <c r="B89" s="23" t="s">
        <v>86</v>
      </c>
      <c r="C89" s="24">
        <v>44</v>
      </c>
      <c r="D89" s="24">
        <f>'[12]1.RSP Districts '!D89</f>
        <v>38</v>
      </c>
      <c r="E89" s="24"/>
      <c r="F89" s="102">
        <f t="shared" si="10"/>
        <v>-100</v>
      </c>
      <c r="G89" s="102">
        <f t="shared" si="11"/>
        <v>0</v>
      </c>
      <c r="H89" s="24">
        <f>'[12]1.RSP Districts '!H89</f>
        <v>178</v>
      </c>
      <c r="I89" s="24"/>
      <c r="J89" s="24">
        <v>121639.04761904762</v>
      </c>
      <c r="K89" s="24">
        <v>37589</v>
      </c>
      <c r="L89" s="24"/>
      <c r="M89" s="102">
        <f t="shared" si="12"/>
        <v>-100</v>
      </c>
      <c r="N89" s="102">
        <f t="shared" si="13"/>
        <v>0</v>
      </c>
      <c r="O89" s="24">
        <v>3605</v>
      </c>
      <c r="P89" s="24"/>
      <c r="Q89" s="102">
        <f t="shared" si="14"/>
        <v>-100.00000000000001</v>
      </c>
      <c r="R89" s="30" t="s">
        <v>8</v>
      </c>
      <c r="S89" s="1">
        <v>1</v>
      </c>
    </row>
    <row r="90" spans="1:19" ht="14.25" hidden="1" customHeight="1">
      <c r="A90" s="22">
        <v>11</v>
      </c>
      <c r="B90" s="23" t="s">
        <v>87</v>
      </c>
      <c r="C90" s="24">
        <v>19</v>
      </c>
      <c r="D90" s="38">
        <f>'[2]1.RSP Districts '!D90</f>
        <v>15</v>
      </c>
      <c r="E90" s="38"/>
      <c r="F90" s="102">
        <f t="shared" si="10"/>
        <v>-100</v>
      </c>
      <c r="G90" s="102">
        <f t="shared" si="11"/>
        <v>0</v>
      </c>
      <c r="H90" s="38">
        <f>'[2]1.RSP Districts '!H90</f>
        <v>21</v>
      </c>
      <c r="I90" s="38"/>
      <c r="J90" s="29">
        <v>47026</v>
      </c>
      <c r="K90" s="38">
        <v>23129</v>
      </c>
      <c r="L90" s="38"/>
      <c r="M90" s="102">
        <f t="shared" si="12"/>
        <v>-100</v>
      </c>
      <c r="N90" s="102">
        <f t="shared" si="13"/>
        <v>0</v>
      </c>
      <c r="O90" s="38">
        <v>1770</v>
      </c>
      <c r="P90" s="38"/>
      <c r="Q90" s="102">
        <f t="shared" si="14"/>
        <v>-100</v>
      </c>
      <c r="R90" s="30" t="s">
        <v>5</v>
      </c>
      <c r="S90" s="1">
        <v>1</v>
      </c>
    </row>
    <row r="91" spans="1:19" ht="14.25" hidden="1" customHeight="1">
      <c r="A91" s="22">
        <v>12</v>
      </c>
      <c r="B91" s="23" t="s">
        <v>88</v>
      </c>
      <c r="C91" s="24">
        <v>41</v>
      </c>
      <c r="D91" s="38">
        <f>'[2]1.RSP Districts '!D91</f>
        <v>41</v>
      </c>
      <c r="E91" s="38"/>
      <c r="F91" s="102">
        <f t="shared" si="10"/>
        <v>-100</v>
      </c>
      <c r="G91" s="102">
        <f t="shared" si="11"/>
        <v>0</v>
      </c>
      <c r="H91" s="38">
        <f>'[2]1.RSP Districts '!H91</f>
        <v>329</v>
      </c>
      <c r="I91" s="38"/>
      <c r="J91" s="29">
        <v>111973</v>
      </c>
      <c r="K91" s="38">
        <v>70985</v>
      </c>
      <c r="L91" s="38"/>
      <c r="M91" s="102">
        <f t="shared" si="12"/>
        <v>-100</v>
      </c>
      <c r="N91" s="102">
        <f t="shared" si="13"/>
        <v>0</v>
      </c>
      <c r="O91" s="38">
        <v>4178</v>
      </c>
      <c r="P91" s="38"/>
      <c r="Q91" s="102">
        <f t="shared" si="14"/>
        <v>-100</v>
      </c>
      <c r="R91" s="30" t="s">
        <v>5</v>
      </c>
      <c r="S91" s="1">
        <v>1</v>
      </c>
    </row>
    <row r="92" spans="1:19" ht="14.25" hidden="1" customHeight="1">
      <c r="A92" s="22">
        <v>13</v>
      </c>
      <c r="B92" s="23" t="s">
        <v>280</v>
      </c>
      <c r="C92" s="24">
        <v>51</v>
      </c>
      <c r="D92" s="24">
        <f>'[12]1.RSP Districts '!D92</f>
        <v>39</v>
      </c>
      <c r="E92" s="24"/>
      <c r="F92" s="102">
        <f t="shared" si="10"/>
        <v>-100</v>
      </c>
      <c r="G92" s="102">
        <f t="shared" si="11"/>
        <v>0</v>
      </c>
      <c r="H92" s="24">
        <f>'[12]1.RSP Districts '!H92</f>
        <v>142</v>
      </c>
      <c r="I92" s="24"/>
      <c r="J92" s="24">
        <v>164715</v>
      </c>
      <c r="K92" s="24">
        <v>24710</v>
      </c>
      <c r="L92" s="24"/>
      <c r="M92" s="102">
        <f t="shared" si="12"/>
        <v>-100</v>
      </c>
      <c r="N92" s="102">
        <f t="shared" si="13"/>
        <v>0</v>
      </c>
      <c r="O92" s="24">
        <v>1729</v>
      </c>
      <c r="P92" s="24"/>
      <c r="Q92" s="102">
        <f t="shared" si="14"/>
        <v>-100</v>
      </c>
      <c r="R92" s="30" t="s">
        <v>8</v>
      </c>
      <c r="S92" s="1">
        <v>1</v>
      </c>
    </row>
    <row r="93" spans="1:19" ht="14.25" hidden="1" customHeight="1">
      <c r="A93" s="22">
        <v>14</v>
      </c>
      <c r="B93" s="23" t="s">
        <v>89</v>
      </c>
      <c r="C93" s="24">
        <v>51</v>
      </c>
      <c r="D93" s="38">
        <f>'[2]1.RSP Districts '!D93</f>
        <v>27</v>
      </c>
      <c r="E93" s="38"/>
      <c r="F93" s="102">
        <f t="shared" si="10"/>
        <v>-100</v>
      </c>
      <c r="G93" s="102">
        <f t="shared" si="11"/>
        <v>0</v>
      </c>
      <c r="H93" s="38">
        <f>'[2]1.RSP Districts '!H93</f>
        <v>54</v>
      </c>
      <c r="I93" s="38"/>
      <c r="J93" s="29">
        <v>141671</v>
      </c>
      <c r="K93" s="38">
        <v>3092</v>
      </c>
      <c r="L93" s="38"/>
      <c r="M93" s="102">
        <f t="shared" si="12"/>
        <v>-100</v>
      </c>
      <c r="N93" s="102">
        <f t="shared" si="13"/>
        <v>0</v>
      </c>
      <c r="O93" s="38">
        <v>564</v>
      </c>
      <c r="P93" s="38"/>
      <c r="Q93" s="102">
        <f t="shared" si="14"/>
        <v>-100</v>
      </c>
      <c r="R93" s="30" t="s">
        <v>5</v>
      </c>
      <c r="S93" s="1">
        <v>1</v>
      </c>
    </row>
    <row r="94" spans="1:19" ht="14.25" hidden="1" customHeight="1">
      <c r="A94" s="22">
        <v>15</v>
      </c>
      <c r="B94" s="23" t="s">
        <v>90</v>
      </c>
      <c r="C94" s="24">
        <v>40</v>
      </c>
      <c r="D94" s="24">
        <f>'[12]1.RSP Districts '!D94</f>
        <v>34</v>
      </c>
      <c r="E94" s="24"/>
      <c r="F94" s="102">
        <f t="shared" si="10"/>
        <v>-99.999999999999986</v>
      </c>
      <c r="G94" s="102">
        <f t="shared" si="11"/>
        <v>0</v>
      </c>
      <c r="H94" s="24">
        <f>'[12]1.RSP Districts '!H94</f>
        <v>236</v>
      </c>
      <c r="I94" s="24"/>
      <c r="J94" s="24">
        <v>128408</v>
      </c>
      <c r="K94" s="24">
        <v>29475</v>
      </c>
      <c r="L94" s="24"/>
      <c r="M94" s="102">
        <f t="shared" si="12"/>
        <v>-100</v>
      </c>
      <c r="N94" s="102">
        <f t="shared" si="13"/>
        <v>0</v>
      </c>
      <c r="O94" s="24">
        <v>2221</v>
      </c>
      <c r="P94" s="24"/>
      <c r="Q94" s="102">
        <f t="shared" si="14"/>
        <v>-100</v>
      </c>
      <c r="R94" s="30" t="s">
        <v>8</v>
      </c>
      <c r="S94" s="1">
        <v>1</v>
      </c>
    </row>
    <row r="95" spans="1:19" ht="14.25" hidden="1" customHeight="1">
      <c r="A95" s="22">
        <v>16</v>
      </c>
      <c r="B95" s="23" t="s">
        <v>91</v>
      </c>
      <c r="C95" s="24">
        <v>55</v>
      </c>
      <c r="D95" s="24">
        <v>13</v>
      </c>
      <c r="E95" s="24"/>
      <c r="F95" s="102">
        <f t="shared" si="10"/>
        <v>-100</v>
      </c>
      <c r="G95" s="102">
        <f t="shared" si="11"/>
        <v>0</v>
      </c>
      <c r="H95" s="24">
        <v>260</v>
      </c>
      <c r="I95" s="24"/>
      <c r="J95" s="24">
        <v>209191</v>
      </c>
      <c r="K95" s="24">
        <v>16500</v>
      </c>
      <c r="L95" s="24"/>
      <c r="M95" s="102">
        <f t="shared" si="12"/>
        <v>-100</v>
      </c>
      <c r="N95" s="102">
        <f t="shared" si="13"/>
        <v>0</v>
      </c>
      <c r="O95" s="24">
        <v>860</v>
      </c>
      <c r="P95" s="24"/>
      <c r="Q95" s="102">
        <f t="shared" si="14"/>
        <v>-100</v>
      </c>
      <c r="R95" s="30" t="s">
        <v>7</v>
      </c>
      <c r="S95" s="1">
        <v>1</v>
      </c>
    </row>
    <row r="96" spans="1:19" ht="14.25" hidden="1" customHeight="1">
      <c r="A96" s="22">
        <v>17</v>
      </c>
      <c r="B96" s="23" t="s">
        <v>92</v>
      </c>
      <c r="C96" s="24">
        <v>51</v>
      </c>
      <c r="D96" s="24">
        <f>'[12]1.RSP Districts '!D96</f>
        <v>50</v>
      </c>
      <c r="E96" s="24"/>
      <c r="F96" s="102">
        <f t="shared" si="10"/>
        <v>-100</v>
      </c>
      <c r="G96" s="102">
        <f t="shared" si="11"/>
        <v>0</v>
      </c>
      <c r="H96" s="24">
        <f>'[12]1.RSP Districts '!H96</f>
        <v>222</v>
      </c>
      <c r="I96" s="24"/>
      <c r="J96" s="24">
        <v>122340</v>
      </c>
      <c r="K96" s="24">
        <v>104557</v>
      </c>
      <c r="L96" s="24"/>
      <c r="M96" s="102">
        <f t="shared" si="12"/>
        <v>-100</v>
      </c>
      <c r="N96" s="102">
        <f t="shared" si="13"/>
        <v>0</v>
      </c>
      <c r="O96" s="24">
        <v>5997</v>
      </c>
      <c r="P96" s="24"/>
      <c r="Q96" s="102">
        <f t="shared" si="14"/>
        <v>-100</v>
      </c>
      <c r="R96" s="30" t="s">
        <v>8</v>
      </c>
      <c r="S96" s="1">
        <v>1</v>
      </c>
    </row>
    <row r="97" spans="1:20" ht="14.25" hidden="1" customHeight="1">
      <c r="A97" s="22">
        <v>18</v>
      </c>
      <c r="B97" s="23" t="s">
        <v>281</v>
      </c>
      <c r="C97" s="24">
        <v>46</v>
      </c>
      <c r="D97" s="24">
        <f>'[12]1.RSP Districts '!D97</f>
        <v>25</v>
      </c>
      <c r="E97" s="24"/>
      <c r="F97" s="102">
        <f t="shared" si="10"/>
        <v>-100</v>
      </c>
      <c r="G97" s="102">
        <f t="shared" si="11"/>
        <v>0</v>
      </c>
      <c r="H97" s="24">
        <f>'[12]1.RSP Districts '!H97</f>
        <v>196</v>
      </c>
      <c r="I97" s="24"/>
      <c r="J97" s="24">
        <v>78458</v>
      </c>
      <c r="K97" s="24">
        <v>36343</v>
      </c>
      <c r="L97" s="24"/>
      <c r="M97" s="102">
        <f t="shared" si="12"/>
        <v>-100</v>
      </c>
      <c r="N97" s="102">
        <f t="shared" si="13"/>
        <v>0</v>
      </c>
      <c r="O97" s="24">
        <v>2613</v>
      </c>
      <c r="P97" s="24"/>
      <c r="Q97" s="102">
        <f t="shared" si="14"/>
        <v>-100</v>
      </c>
      <c r="R97" s="30" t="s">
        <v>8</v>
      </c>
      <c r="S97" s="1">
        <v>1</v>
      </c>
    </row>
    <row r="98" spans="1:20" s="6" customFormat="1" ht="14.25" hidden="1" customHeight="1">
      <c r="A98" s="22">
        <v>19</v>
      </c>
      <c r="B98" s="23" t="s">
        <v>93</v>
      </c>
      <c r="C98" s="24">
        <v>19</v>
      </c>
      <c r="D98" s="38">
        <f>'[2]1.RSP Districts '!D98</f>
        <v>12</v>
      </c>
      <c r="E98" s="38"/>
      <c r="F98" s="102">
        <f t="shared" si="10"/>
        <v>-100</v>
      </c>
      <c r="G98" s="102">
        <f t="shared" si="11"/>
        <v>0</v>
      </c>
      <c r="H98" s="38">
        <f>'[2]1.RSP Districts '!H98</f>
        <v>19</v>
      </c>
      <c r="I98" s="38"/>
      <c r="J98" s="29">
        <v>47082</v>
      </c>
      <c r="K98" s="38">
        <v>12702</v>
      </c>
      <c r="L98" s="38"/>
      <c r="M98" s="102">
        <f t="shared" si="12"/>
        <v>-100</v>
      </c>
      <c r="N98" s="102">
        <f t="shared" si="13"/>
        <v>0</v>
      </c>
      <c r="O98" s="38">
        <v>1025</v>
      </c>
      <c r="P98" s="38"/>
      <c r="Q98" s="102">
        <f t="shared" si="14"/>
        <v>-100</v>
      </c>
      <c r="R98" s="30" t="s">
        <v>5</v>
      </c>
      <c r="S98" s="1">
        <v>1</v>
      </c>
    </row>
    <row r="99" spans="1:20" s="6" customFormat="1" ht="14.25" hidden="1" customHeight="1">
      <c r="A99" s="22">
        <v>20</v>
      </c>
      <c r="B99" s="23" t="s">
        <v>94</v>
      </c>
      <c r="C99" s="24">
        <v>16</v>
      </c>
      <c r="D99" s="38">
        <f>'[2]1.RSP Districts '!D99</f>
        <v>13</v>
      </c>
      <c r="E99" s="38"/>
      <c r="F99" s="102">
        <f t="shared" si="10"/>
        <v>-100</v>
      </c>
      <c r="G99" s="102">
        <f t="shared" si="11"/>
        <v>0</v>
      </c>
      <c r="H99" s="38">
        <f>'[2]1.RSP Districts '!H99</f>
        <v>66</v>
      </c>
      <c r="I99" s="38"/>
      <c r="J99" s="29">
        <v>39648</v>
      </c>
      <c r="K99" s="38">
        <v>17576</v>
      </c>
      <c r="L99" s="38"/>
      <c r="M99" s="102">
        <f t="shared" si="12"/>
        <v>-100</v>
      </c>
      <c r="N99" s="102">
        <f t="shared" si="13"/>
        <v>0</v>
      </c>
      <c r="O99" s="38">
        <v>1067</v>
      </c>
      <c r="P99" s="38"/>
      <c r="Q99" s="102">
        <f t="shared" si="14"/>
        <v>-100</v>
      </c>
      <c r="R99" s="30" t="s">
        <v>5</v>
      </c>
      <c r="S99" s="1">
        <v>1</v>
      </c>
    </row>
    <row r="100" spans="1:20" s="6" customFormat="1" ht="14.25" hidden="1" customHeight="1">
      <c r="A100" s="22">
        <v>21</v>
      </c>
      <c r="B100" s="23" t="s">
        <v>95</v>
      </c>
      <c r="C100" s="24">
        <v>44</v>
      </c>
      <c r="D100" s="24">
        <f>'[10]1.RSP Districts '!D100</f>
        <v>44</v>
      </c>
      <c r="E100" s="24"/>
      <c r="F100" s="102">
        <f t="shared" si="10"/>
        <v>-100</v>
      </c>
      <c r="G100" s="102">
        <f t="shared" si="11"/>
        <v>0</v>
      </c>
      <c r="H100" s="24">
        <f>'[10]1.RSP Districts '!H100</f>
        <v>166</v>
      </c>
      <c r="I100" s="24"/>
      <c r="J100" s="24">
        <v>159486</v>
      </c>
      <c r="K100" s="24">
        <v>159665</v>
      </c>
      <c r="L100" s="24"/>
      <c r="M100" s="102">
        <f t="shared" si="12"/>
        <v>-100</v>
      </c>
      <c r="N100" s="102">
        <f t="shared" si="13"/>
        <v>0</v>
      </c>
      <c r="O100" s="24">
        <v>11477</v>
      </c>
      <c r="P100" s="24"/>
      <c r="Q100" s="102">
        <f t="shared" si="14"/>
        <v>-100</v>
      </c>
      <c r="R100" s="31" t="s">
        <v>10</v>
      </c>
      <c r="S100" s="1">
        <v>1</v>
      </c>
      <c r="T100" s="6">
        <f>8</f>
        <v>8</v>
      </c>
    </row>
    <row r="101" spans="1:20" s="6" customFormat="1" ht="14.25" hidden="1" customHeight="1">
      <c r="A101" s="22">
        <v>22</v>
      </c>
      <c r="B101" s="23" t="s">
        <v>96</v>
      </c>
      <c r="C101" s="24">
        <v>55</v>
      </c>
      <c r="D101" s="38">
        <f>'[2]1.RSP Districts '!D101</f>
        <v>52</v>
      </c>
      <c r="E101" s="38"/>
      <c r="F101" s="102">
        <f t="shared" si="10"/>
        <v>-100</v>
      </c>
      <c r="G101" s="102">
        <f t="shared" si="11"/>
        <v>0</v>
      </c>
      <c r="H101" s="38">
        <f>'[2]1.RSP Districts '!H101</f>
        <v>298</v>
      </c>
      <c r="I101" s="38"/>
      <c r="J101" s="29">
        <v>202554</v>
      </c>
      <c r="K101" s="38">
        <v>39339</v>
      </c>
      <c r="L101" s="38"/>
      <c r="M101" s="102">
        <f t="shared" si="12"/>
        <v>-100</v>
      </c>
      <c r="N101" s="102">
        <f t="shared" si="13"/>
        <v>0</v>
      </c>
      <c r="O101" s="38">
        <v>2242</v>
      </c>
      <c r="P101" s="38"/>
      <c r="Q101" s="102">
        <f t="shared" si="14"/>
        <v>-99.999999999999986</v>
      </c>
      <c r="R101" s="30" t="s">
        <v>5</v>
      </c>
      <c r="S101" s="1">
        <v>1</v>
      </c>
    </row>
    <row r="102" spans="1:20" s="6" customFormat="1" ht="15" hidden="1" customHeight="1" thickBot="1">
      <c r="A102" s="36">
        <v>23</v>
      </c>
      <c r="B102" s="37" t="s">
        <v>97</v>
      </c>
      <c r="C102" s="38">
        <v>27</v>
      </c>
      <c r="D102" s="24">
        <f>'[10]1.RSP Districts '!D102</f>
        <v>27</v>
      </c>
      <c r="E102" s="24"/>
      <c r="F102" s="134">
        <f t="shared" si="10"/>
        <v>-100</v>
      </c>
      <c r="G102" s="134">
        <f t="shared" si="11"/>
        <v>0</v>
      </c>
      <c r="H102" s="24">
        <f>'[10]1.RSP Districts '!H102</f>
        <v>186</v>
      </c>
      <c r="I102" s="24"/>
      <c r="J102" s="38">
        <v>106515</v>
      </c>
      <c r="K102" s="24">
        <v>44752</v>
      </c>
      <c r="L102" s="24"/>
      <c r="M102" s="134">
        <f t="shared" si="12"/>
        <v>-100</v>
      </c>
      <c r="N102" s="134">
        <f t="shared" si="13"/>
        <v>0</v>
      </c>
      <c r="O102" s="24">
        <v>2748</v>
      </c>
      <c r="P102" s="24"/>
      <c r="Q102" s="134">
        <f t="shared" si="14"/>
        <v>-100</v>
      </c>
      <c r="R102" s="41" t="s">
        <v>10</v>
      </c>
      <c r="S102" s="1">
        <v>1</v>
      </c>
    </row>
    <row r="103" spans="1:20" s="4" customFormat="1" ht="15.75" hidden="1" customHeight="1" thickBot="1">
      <c r="A103" s="150">
        <f>COUNTIF(R80:R102,"*")</f>
        <v>22</v>
      </c>
      <c r="B103" s="149" t="s">
        <v>76</v>
      </c>
      <c r="C103" s="56">
        <f>SUM(C80:C102)</f>
        <v>921</v>
      </c>
      <c r="D103" s="56">
        <f>SUM(D80:D102)</f>
        <v>690</v>
      </c>
      <c r="E103" s="56">
        <f>SUM(E80:E102)</f>
        <v>0</v>
      </c>
      <c r="F103" s="151">
        <f t="shared" si="10"/>
        <v>-100</v>
      </c>
      <c r="G103" s="151">
        <f t="shared" si="11"/>
        <v>0</v>
      </c>
      <c r="H103" s="151">
        <f>SUM(H80:H102)</f>
        <v>3953</v>
      </c>
      <c r="I103" s="151">
        <f>SUM(I80:I102)</f>
        <v>0</v>
      </c>
      <c r="J103" s="56">
        <f>SUM(J80:J102)</f>
        <v>2816903.1255411254</v>
      </c>
      <c r="K103" s="218">
        <f>SUM(K80:K102)</f>
        <v>1163338</v>
      </c>
      <c r="L103" s="56">
        <f>SUM(L80:L102)</f>
        <v>0</v>
      </c>
      <c r="M103" s="151">
        <f t="shared" si="12"/>
        <v>-100</v>
      </c>
      <c r="N103" s="151">
        <f t="shared" si="13"/>
        <v>0</v>
      </c>
      <c r="O103" s="218">
        <f>SUM(O80:O102)</f>
        <v>71780</v>
      </c>
      <c r="P103" s="56">
        <f>SUM(P80:P102)</f>
        <v>0</v>
      </c>
      <c r="Q103" s="151">
        <f t="shared" si="14"/>
        <v>-100</v>
      </c>
      <c r="R103" s="153"/>
      <c r="S103" s="1">
        <v>1</v>
      </c>
    </row>
    <row r="104" spans="1:20" ht="5.25" hidden="1" customHeight="1" thickBot="1">
      <c r="A104" s="34"/>
      <c r="B104" s="35"/>
      <c r="C104" s="27"/>
      <c r="D104" s="27"/>
      <c r="E104" s="27"/>
      <c r="F104" s="103"/>
      <c r="G104" s="103"/>
      <c r="H104" s="103"/>
      <c r="I104" s="103"/>
      <c r="J104" s="27"/>
      <c r="K104" s="27"/>
      <c r="L104" s="27"/>
      <c r="M104" s="27"/>
      <c r="N104" s="27"/>
      <c r="O104" s="27"/>
      <c r="P104" s="27"/>
      <c r="Q104" s="27"/>
      <c r="R104" s="14"/>
      <c r="S104" s="1">
        <v>1</v>
      </c>
    </row>
    <row r="105" spans="1:20" s="5" customFormat="1" ht="14.25" hidden="1" customHeight="1">
      <c r="A105" s="17" t="s">
        <v>98</v>
      </c>
      <c r="B105" s="18"/>
      <c r="C105" s="19"/>
      <c r="D105" s="28"/>
      <c r="E105" s="28"/>
      <c r="F105" s="104"/>
      <c r="G105" s="104"/>
      <c r="H105" s="104"/>
      <c r="I105" s="104"/>
      <c r="J105" s="19"/>
      <c r="K105" s="28"/>
      <c r="L105" s="28"/>
      <c r="M105" s="28"/>
      <c r="N105" s="28"/>
      <c r="O105" s="28"/>
      <c r="P105" s="28"/>
      <c r="Q105" s="28"/>
      <c r="R105" s="21"/>
      <c r="S105" s="1">
        <v>1</v>
      </c>
    </row>
    <row r="106" spans="1:20" s="6" customFormat="1" ht="14.25" hidden="1" customHeight="1">
      <c r="A106" s="22">
        <v>1</v>
      </c>
      <c r="B106" s="23" t="s">
        <v>99</v>
      </c>
      <c r="C106" s="29">
        <v>65</v>
      </c>
      <c r="D106" s="24">
        <f>'[9]1.RSP Districts '!D106</f>
        <v>12</v>
      </c>
      <c r="E106" s="24"/>
      <c r="F106" s="102">
        <f t="shared" ref="F106:F155" si="15">(E106-D106)/D106%</f>
        <v>-100</v>
      </c>
      <c r="G106" s="102">
        <f t="shared" ref="G106:G155" si="16">E106/C106%</f>
        <v>0</v>
      </c>
      <c r="H106" s="24">
        <f>'[9]1.RSP Districts '!H106</f>
        <v>69</v>
      </c>
      <c r="I106" s="24"/>
      <c r="J106" s="24">
        <v>164849</v>
      </c>
      <c r="K106" s="24">
        <v>18862</v>
      </c>
      <c r="L106" s="24"/>
      <c r="M106" s="102">
        <f t="shared" ref="M106:M155" si="17">(L106-K106)/K106%</f>
        <v>-100</v>
      </c>
      <c r="N106" s="102">
        <f t="shared" ref="N106:N155" si="18">L106/J106%</f>
        <v>0</v>
      </c>
      <c r="O106" s="24">
        <v>1617</v>
      </c>
      <c r="P106" s="24"/>
      <c r="Q106" s="102">
        <f t="shared" ref="Q106:Q155" si="19">(P106-O106)/O106%</f>
        <v>-99.999999999999986</v>
      </c>
      <c r="R106" s="31" t="s">
        <v>4</v>
      </c>
      <c r="S106" s="1">
        <v>1</v>
      </c>
      <c r="T106" s="157"/>
    </row>
    <row r="107" spans="1:20" ht="14.25" hidden="1" customHeight="1">
      <c r="A107" s="22">
        <v>1</v>
      </c>
      <c r="B107" s="23" t="s">
        <v>100</v>
      </c>
      <c r="C107" s="24">
        <v>65</v>
      </c>
      <c r="D107" s="38">
        <f>'[2]1.RSP Districts '!D107</f>
        <v>64</v>
      </c>
      <c r="E107" s="38"/>
      <c r="F107" s="102">
        <f t="shared" si="15"/>
        <v>-100</v>
      </c>
      <c r="G107" s="102">
        <f t="shared" si="16"/>
        <v>0</v>
      </c>
      <c r="H107" s="38">
        <f>'[2]1.RSP Districts '!H107</f>
        <v>454</v>
      </c>
      <c r="I107" s="38"/>
      <c r="J107" s="24">
        <v>164849</v>
      </c>
      <c r="K107" s="38">
        <v>66651</v>
      </c>
      <c r="L107" s="38"/>
      <c r="M107" s="102">
        <f t="shared" si="17"/>
        <v>-100</v>
      </c>
      <c r="N107" s="102">
        <f t="shared" si="18"/>
        <v>0</v>
      </c>
      <c r="O107" s="38">
        <v>4318</v>
      </c>
      <c r="P107" s="38"/>
      <c r="Q107" s="102">
        <f t="shared" si="19"/>
        <v>-100</v>
      </c>
      <c r="R107" s="26" t="s">
        <v>5</v>
      </c>
      <c r="S107" s="1">
        <v>1</v>
      </c>
      <c r="T107" s="157"/>
    </row>
    <row r="108" spans="1:20" s="6" customFormat="1" ht="14.25" hidden="1" customHeight="1">
      <c r="A108" s="22">
        <v>2</v>
      </c>
      <c r="B108" s="23" t="s">
        <v>101</v>
      </c>
      <c r="C108" s="24">
        <v>101</v>
      </c>
      <c r="D108" s="38">
        <f>'[2]1.RSP Districts '!D108</f>
        <v>101</v>
      </c>
      <c r="E108" s="38"/>
      <c r="F108" s="102">
        <f t="shared" si="15"/>
        <v>-100</v>
      </c>
      <c r="G108" s="102">
        <f t="shared" si="16"/>
        <v>0</v>
      </c>
      <c r="H108" s="38">
        <f>'[2]1.RSP Districts '!H108</f>
        <v>869</v>
      </c>
      <c r="I108" s="38"/>
      <c r="J108" s="29">
        <v>158489</v>
      </c>
      <c r="K108" s="38">
        <v>215627</v>
      </c>
      <c r="L108" s="38"/>
      <c r="M108" s="102">
        <f t="shared" si="17"/>
        <v>-100</v>
      </c>
      <c r="N108" s="102">
        <f t="shared" si="18"/>
        <v>0</v>
      </c>
      <c r="O108" s="38">
        <v>15566</v>
      </c>
      <c r="P108" s="38"/>
      <c r="Q108" s="102">
        <f t="shared" si="19"/>
        <v>-100</v>
      </c>
      <c r="R108" s="31" t="s">
        <v>5</v>
      </c>
      <c r="S108" s="1">
        <v>1</v>
      </c>
      <c r="T108" s="157"/>
    </row>
    <row r="109" spans="1:20" s="6" customFormat="1" ht="14.25" hidden="1" customHeight="1">
      <c r="A109" s="22">
        <v>3</v>
      </c>
      <c r="B109" s="23" t="s">
        <v>102</v>
      </c>
      <c r="C109" s="24">
        <v>97</v>
      </c>
      <c r="D109" s="38">
        <f>'[2]1.RSP Districts '!D109</f>
        <v>97</v>
      </c>
      <c r="E109" s="38"/>
      <c r="F109" s="102">
        <f t="shared" si="15"/>
        <v>-100</v>
      </c>
      <c r="G109" s="102">
        <f t="shared" si="16"/>
        <v>0</v>
      </c>
      <c r="H109" s="38">
        <f>'[2]1.RSP Districts '!H109</f>
        <v>609</v>
      </c>
      <c r="I109" s="38"/>
      <c r="J109" s="29">
        <v>128856</v>
      </c>
      <c r="K109" s="38">
        <v>266949</v>
      </c>
      <c r="L109" s="38"/>
      <c r="M109" s="102">
        <f t="shared" si="17"/>
        <v>-100.00000000000001</v>
      </c>
      <c r="N109" s="102">
        <f t="shared" si="18"/>
        <v>0</v>
      </c>
      <c r="O109" s="38">
        <v>17978</v>
      </c>
      <c r="P109" s="38"/>
      <c r="Q109" s="102">
        <f t="shared" si="19"/>
        <v>-100</v>
      </c>
      <c r="R109" s="31" t="s">
        <v>5</v>
      </c>
      <c r="S109" s="1">
        <v>1</v>
      </c>
      <c r="T109" s="157"/>
    </row>
    <row r="110" spans="1:20" s="6" customFormat="1" ht="14.25" hidden="1" customHeight="1">
      <c r="A110" s="22">
        <v>4</v>
      </c>
      <c r="B110" s="23" t="s">
        <v>103</v>
      </c>
      <c r="C110" s="24">
        <v>42</v>
      </c>
      <c r="D110" s="38">
        <f>'[2]1.RSP Districts '!D110</f>
        <v>40</v>
      </c>
      <c r="E110" s="38"/>
      <c r="F110" s="102">
        <f t="shared" si="15"/>
        <v>-100</v>
      </c>
      <c r="G110" s="102">
        <f t="shared" si="16"/>
        <v>0</v>
      </c>
      <c r="H110" s="38">
        <f>'[2]1.RSP Districts '!H110</f>
        <v>530</v>
      </c>
      <c r="I110" s="38"/>
      <c r="J110" s="29">
        <v>90682.077922077922</v>
      </c>
      <c r="K110" s="38">
        <v>153702</v>
      </c>
      <c r="L110" s="38"/>
      <c r="M110" s="102">
        <f t="shared" si="17"/>
        <v>-100</v>
      </c>
      <c r="N110" s="102">
        <f t="shared" si="18"/>
        <v>0</v>
      </c>
      <c r="O110" s="38">
        <v>9653</v>
      </c>
      <c r="P110" s="38"/>
      <c r="Q110" s="102">
        <f t="shared" si="19"/>
        <v>-100</v>
      </c>
      <c r="R110" s="31" t="s">
        <v>5</v>
      </c>
      <c r="S110" s="1">
        <v>1</v>
      </c>
      <c r="T110" s="157"/>
    </row>
    <row r="111" spans="1:20" s="6" customFormat="1" ht="14.25" hidden="1" customHeight="1">
      <c r="A111" s="22">
        <v>5</v>
      </c>
      <c r="B111" s="23" t="s">
        <v>104</v>
      </c>
      <c r="C111" s="24">
        <v>65</v>
      </c>
      <c r="D111" s="38">
        <f>'[2]1.RSP Districts '!D111</f>
        <v>60</v>
      </c>
      <c r="E111" s="38"/>
      <c r="F111" s="102">
        <f t="shared" si="15"/>
        <v>-100</v>
      </c>
      <c r="G111" s="102">
        <f t="shared" si="16"/>
        <v>0</v>
      </c>
      <c r="H111" s="38">
        <f>'[2]1.RSP Districts '!H111</f>
        <v>418</v>
      </c>
      <c r="I111" s="38"/>
      <c r="J111" s="29">
        <v>88816</v>
      </c>
      <c r="K111" s="38">
        <v>70289</v>
      </c>
      <c r="L111" s="38"/>
      <c r="M111" s="102">
        <f t="shared" si="17"/>
        <v>-100</v>
      </c>
      <c r="N111" s="102">
        <f t="shared" si="18"/>
        <v>0</v>
      </c>
      <c r="O111" s="38">
        <v>3834</v>
      </c>
      <c r="P111" s="38"/>
      <c r="Q111" s="102">
        <f t="shared" si="19"/>
        <v>-99.999999999999986</v>
      </c>
      <c r="R111" s="31" t="s">
        <v>5</v>
      </c>
      <c r="S111" s="1">
        <v>1</v>
      </c>
      <c r="T111" s="157"/>
    </row>
    <row r="112" spans="1:20" s="6" customFormat="1" ht="14.25" hidden="1" customHeight="1">
      <c r="A112" s="22">
        <v>6</v>
      </c>
      <c r="B112" s="23" t="s">
        <v>224</v>
      </c>
      <c r="C112" s="24">
        <v>42</v>
      </c>
      <c r="D112" s="24">
        <f>'[14]1.RSP Districts '!D112</f>
        <v>0</v>
      </c>
      <c r="E112" s="24"/>
      <c r="F112" s="102">
        <v>0</v>
      </c>
      <c r="G112" s="102">
        <f t="shared" si="16"/>
        <v>0</v>
      </c>
      <c r="H112" s="24">
        <f>'[14]1.RSP Districts '!I112</f>
        <v>0</v>
      </c>
      <c r="I112" s="24"/>
      <c r="J112" s="166">
        <v>81625.384615384493</v>
      </c>
      <c r="K112" s="24">
        <v>1069</v>
      </c>
      <c r="L112" s="24"/>
      <c r="M112" s="102">
        <f t="shared" si="17"/>
        <v>-100</v>
      </c>
      <c r="N112" s="102">
        <v>0</v>
      </c>
      <c r="O112" s="24">
        <v>60</v>
      </c>
      <c r="P112" s="24"/>
      <c r="Q112" s="102">
        <f t="shared" si="19"/>
        <v>-100</v>
      </c>
      <c r="R112" s="79" t="s">
        <v>6</v>
      </c>
      <c r="S112" s="1">
        <v>1</v>
      </c>
      <c r="T112" s="157"/>
    </row>
    <row r="113" spans="1:20" s="6" customFormat="1" ht="14.25" hidden="1" customHeight="1">
      <c r="A113" s="22">
        <v>7</v>
      </c>
      <c r="B113" s="23" t="s">
        <v>105</v>
      </c>
      <c r="C113" s="24">
        <v>55</v>
      </c>
      <c r="D113" s="38">
        <f>'[2]1.RSP Districts '!D113</f>
        <v>50</v>
      </c>
      <c r="E113" s="38"/>
      <c r="F113" s="102">
        <f t="shared" si="15"/>
        <v>-100</v>
      </c>
      <c r="G113" s="102">
        <f t="shared" si="16"/>
        <v>0</v>
      </c>
      <c r="H113" s="38">
        <f>'[2]1.RSP Districts '!H113</f>
        <v>492</v>
      </c>
      <c r="I113" s="38"/>
      <c r="J113" s="24">
        <v>208270</v>
      </c>
      <c r="K113" s="38">
        <v>133665</v>
      </c>
      <c r="L113" s="38"/>
      <c r="M113" s="102">
        <f t="shared" si="17"/>
        <v>-100</v>
      </c>
      <c r="N113" s="102">
        <f t="shared" si="18"/>
        <v>0</v>
      </c>
      <c r="O113" s="38">
        <v>9671</v>
      </c>
      <c r="P113" s="38"/>
      <c r="Q113" s="102">
        <f t="shared" si="19"/>
        <v>-100</v>
      </c>
      <c r="R113" s="31" t="s">
        <v>5</v>
      </c>
      <c r="S113" s="1">
        <v>1</v>
      </c>
      <c r="T113" s="157"/>
    </row>
    <row r="114" spans="1:20" s="6" customFormat="1" ht="14.25" hidden="1" customHeight="1">
      <c r="A114" s="22">
        <v>7</v>
      </c>
      <c r="B114" s="23" t="s">
        <v>225</v>
      </c>
      <c r="C114" s="24">
        <v>55</v>
      </c>
      <c r="D114" s="24">
        <f>'[14]1.RSP Districts '!D114</f>
        <v>0</v>
      </c>
      <c r="E114" s="24"/>
      <c r="F114" s="102">
        <v>0</v>
      </c>
      <c r="G114" s="102">
        <f t="shared" si="16"/>
        <v>0</v>
      </c>
      <c r="H114" s="24">
        <f>'[14]1.RSP Districts '!I114</f>
        <v>0</v>
      </c>
      <c r="I114" s="24"/>
      <c r="J114" s="24">
        <v>208270</v>
      </c>
      <c r="K114" s="24">
        <v>20260</v>
      </c>
      <c r="L114" s="24"/>
      <c r="M114" s="102">
        <f t="shared" si="17"/>
        <v>-100</v>
      </c>
      <c r="N114" s="102">
        <f t="shared" si="18"/>
        <v>0</v>
      </c>
      <c r="O114" s="24">
        <v>1302</v>
      </c>
      <c r="P114" s="24"/>
      <c r="Q114" s="102">
        <f t="shared" si="19"/>
        <v>-100</v>
      </c>
      <c r="R114" s="31" t="s">
        <v>6</v>
      </c>
      <c r="S114" s="1">
        <v>1</v>
      </c>
      <c r="T114" s="157"/>
    </row>
    <row r="115" spans="1:20" s="6" customFormat="1" ht="14.25" hidden="1" customHeight="1">
      <c r="A115" s="22">
        <v>8</v>
      </c>
      <c r="B115" s="23" t="s">
        <v>106</v>
      </c>
      <c r="C115" s="24">
        <v>71</v>
      </c>
      <c r="D115" s="24">
        <f>'[14]1.RSP Districts '!D115</f>
        <v>71</v>
      </c>
      <c r="E115" s="24"/>
      <c r="F115" s="102">
        <f t="shared" si="15"/>
        <v>-100</v>
      </c>
      <c r="G115" s="102">
        <f t="shared" si="16"/>
        <v>0</v>
      </c>
      <c r="H115" s="24">
        <f>'[14]1.RSP Districts '!I115</f>
        <v>336</v>
      </c>
      <c r="I115" s="24"/>
      <c r="J115" s="24">
        <v>121639.04761904762</v>
      </c>
      <c r="K115" s="24">
        <v>62399</v>
      </c>
      <c r="L115" s="24"/>
      <c r="M115" s="102">
        <f t="shared" si="17"/>
        <v>-100</v>
      </c>
      <c r="N115" s="102">
        <f t="shared" si="18"/>
        <v>0</v>
      </c>
      <c r="O115" s="24">
        <v>4071</v>
      </c>
      <c r="P115" s="24"/>
      <c r="Q115" s="102">
        <f t="shared" si="19"/>
        <v>-100</v>
      </c>
      <c r="R115" s="31" t="s">
        <v>6</v>
      </c>
      <c r="S115" s="1">
        <v>1</v>
      </c>
      <c r="T115" s="157"/>
    </row>
    <row r="116" spans="1:20" s="6" customFormat="1" ht="14.25" hidden="1" customHeight="1">
      <c r="A116" s="22">
        <v>9</v>
      </c>
      <c r="B116" s="23" t="s">
        <v>107</v>
      </c>
      <c r="C116" s="24">
        <v>97</v>
      </c>
      <c r="D116" s="24">
        <f>'[14]1.RSP Districts '!D116</f>
        <v>62</v>
      </c>
      <c r="E116" s="24"/>
      <c r="F116" s="102">
        <f t="shared" si="15"/>
        <v>-100</v>
      </c>
      <c r="G116" s="102">
        <f t="shared" si="16"/>
        <v>0</v>
      </c>
      <c r="H116" s="24">
        <f>'[14]1.RSP Districts '!I116</f>
        <v>372</v>
      </c>
      <c r="I116" s="24"/>
      <c r="J116" s="24">
        <v>47026</v>
      </c>
      <c r="K116" s="24">
        <v>55975</v>
      </c>
      <c r="L116" s="24"/>
      <c r="M116" s="102">
        <f t="shared" si="17"/>
        <v>-100</v>
      </c>
      <c r="N116" s="102">
        <f t="shared" si="18"/>
        <v>0</v>
      </c>
      <c r="O116" s="24">
        <v>3113</v>
      </c>
      <c r="P116" s="24"/>
      <c r="Q116" s="102">
        <f t="shared" si="19"/>
        <v>-100</v>
      </c>
      <c r="R116" s="31" t="s">
        <v>6</v>
      </c>
      <c r="S116" s="1">
        <v>1</v>
      </c>
      <c r="T116" s="157"/>
    </row>
    <row r="117" spans="1:20" s="6" customFormat="1" ht="14.25" hidden="1" customHeight="1">
      <c r="A117" s="22">
        <v>10</v>
      </c>
      <c r="B117" s="23" t="s">
        <v>108</v>
      </c>
      <c r="C117" s="24">
        <v>87</v>
      </c>
      <c r="D117" s="24">
        <f>'[14]1.RSP Districts '!D117</f>
        <v>35</v>
      </c>
      <c r="E117" s="24"/>
      <c r="F117" s="102">
        <f t="shared" si="15"/>
        <v>-100</v>
      </c>
      <c r="G117" s="102">
        <f t="shared" si="16"/>
        <v>0</v>
      </c>
      <c r="H117" s="24">
        <v>370</v>
      </c>
      <c r="I117" s="24"/>
      <c r="J117" s="24">
        <v>111973</v>
      </c>
      <c r="K117" s="24">
        <v>49649</v>
      </c>
      <c r="L117" s="24"/>
      <c r="M117" s="102">
        <f t="shared" si="17"/>
        <v>-100</v>
      </c>
      <c r="N117" s="102">
        <f t="shared" si="18"/>
        <v>0</v>
      </c>
      <c r="O117" s="24">
        <v>3142</v>
      </c>
      <c r="P117" s="24"/>
      <c r="Q117" s="102">
        <f t="shared" si="19"/>
        <v>-100</v>
      </c>
      <c r="R117" s="31" t="s">
        <v>6</v>
      </c>
      <c r="S117" s="1">
        <v>1</v>
      </c>
      <c r="T117" s="157"/>
    </row>
    <row r="118" spans="1:20" s="6" customFormat="1" ht="14.25" hidden="1" customHeight="1">
      <c r="A118" s="22">
        <v>11</v>
      </c>
      <c r="B118" s="23" t="s">
        <v>109</v>
      </c>
      <c r="C118" s="24">
        <v>40</v>
      </c>
      <c r="D118" s="24">
        <f>'[14]1.RSP Districts '!D118</f>
        <v>16</v>
      </c>
      <c r="E118" s="24"/>
      <c r="F118" s="102">
        <f t="shared" si="15"/>
        <v>-100</v>
      </c>
      <c r="G118" s="102">
        <f t="shared" si="16"/>
        <v>0</v>
      </c>
      <c r="H118" s="24">
        <f>'[14]1.RSP Districts '!I118</f>
        <v>108</v>
      </c>
      <c r="I118" s="24"/>
      <c r="J118" s="24">
        <v>164715</v>
      </c>
      <c r="K118" s="24">
        <v>29896</v>
      </c>
      <c r="L118" s="24"/>
      <c r="M118" s="102">
        <f t="shared" si="17"/>
        <v>-100</v>
      </c>
      <c r="N118" s="102">
        <f t="shared" si="18"/>
        <v>0</v>
      </c>
      <c r="O118" s="24">
        <v>1835</v>
      </c>
      <c r="P118" s="24"/>
      <c r="Q118" s="102">
        <f t="shared" si="19"/>
        <v>-99.999999999999986</v>
      </c>
      <c r="R118" s="31" t="s">
        <v>6</v>
      </c>
      <c r="S118" s="1">
        <v>1</v>
      </c>
      <c r="T118" s="157"/>
    </row>
    <row r="119" spans="1:20" s="6" customFormat="1" ht="14.25" hidden="1" customHeight="1">
      <c r="A119" s="22">
        <v>11</v>
      </c>
      <c r="B119" s="23" t="s">
        <v>268</v>
      </c>
      <c r="C119" s="24">
        <v>40</v>
      </c>
      <c r="D119" s="38">
        <v>48</v>
      </c>
      <c r="E119" s="38"/>
      <c r="F119" s="102">
        <f t="shared" si="15"/>
        <v>-100</v>
      </c>
      <c r="G119" s="102">
        <f t="shared" si="16"/>
        <v>0</v>
      </c>
      <c r="H119" s="38">
        <v>184</v>
      </c>
      <c r="I119" s="38"/>
      <c r="J119" s="24">
        <v>164715</v>
      </c>
      <c r="K119" s="38">
        <v>1422</v>
      </c>
      <c r="L119" s="38"/>
      <c r="M119" s="102">
        <f t="shared" si="17"/>
        <v>-100</v>
      </c>
      <c r="N119" s="102">
        <f t="shared" si="18"/>
        <v>0</v>
      </c>
      <c r="O119" s="38">
        <v>127</v>
      </c>
      <c r="P119" s="38"/>
      <c r="Q119" s="102">
        <f t="shared" si="19"/>
        <v>-100</v>
      </c>
      <c r="R119" s="31" t="s">
        <v>5</v>
      </c>
      <c r="S119" s="1">
        <v>1</v>
      </c>
      <c r="T119" s="157" t="s">
        <v>269</v>
      </c>
    </row>
    <row r="120" spans="1:20" s="6" customFormat="1" ht="14.25" hidden="1" customHeight="1">
      <c r="A120" s="22">
        <v>12</v>
      </c>
      <c r="B120" s="23" t="s">
        <v>110</v>
      </c>
      <c r="C120" s="24">
        <v>79</v>
      </c>
      <c r="D120" s="24">
        <f>'[14]1.RSP Districts '!D120</f>
        <v>21</v>
      </c>
      <c r="E120" s="24"/>
      <c r="F120" s="102">
        <f t="shared" si="15"/>
        <v>-100</v>
      </c>
      <c r="G120" s="102">
        <f t="shared" si="16"/>
        <v>0</v>
      </c>
      <c r="H120" s="24">
        <f>'[14]1.RSP Districts '!I120</f>
        <v>181</v>
      </c>
      <c r="I120" s="24"/>
      <c r="J120" s="24">
        <v>141671</v>
      </c>
      <c r="K120" s="24">
        <v>28667</v>
      </c>
      <c r="L120" s="24"/>
      <c r="M120" s="102">
        <f t="shared" si="17"/>
        <v>-100</v>
      </c>
      <c r="N120" s="102">
        <f t="shared" si="18"/>
        <v>0</v>
      </c>
      <c r="O120" s="24">
        <v>1962</v>
      </c>
      <c r="P120" s="24"/>
      <c r="Q120" s="102">
        <f t="shared" si="19"/>
        <v>-100</v>
      </c>
      <c r="R120" s="31" t="s">
        <v>6</v>
      </c>
      <c r="S120" s="1">
        <v>1</v>
      </c>
      <c r="T120" s="157"/>
    </row>
    <row r="121" spans="1:20" s="6" customFormat="1" ht="14.25" hidden="1" customHeight="1">
      <c r="A121" s="22">
        <v>13</v>
      </c>
      <c r="B121" s="23" t="s">
        <v>111</v>
      </c>
      <c r="C121" s="24">
        <v>50</v>
      </c>
      <c r="D121" s="38">
        <f>'[2]1.RSP Districts '!D121</f>
        <v>35</v>
      </c>
      <c r="E121" s="38"/>
      <c r="F121" s="102">
        <f t="shared" si="15"/>
        <v>-100</v>
      </c>
      <c r="G121" s="102">
        <f t="shared" si="16"/>
        <v>0</v>
      </c>
      <c r="H121" s="38">
        <f>'[2]1.RSP Districts '!H121</f>
        <v>637</v>
      </c>
      <c r="I121" s="38"/>
      <c r="J121" s="29">
        <v>128408</v>
      </c>
      <c r="K121" s="38">
        <v>42032</v>
      </c>
      <c r="L121" s="38"/>
      <c r="M121" s="102">
        <f t="shared" si="17"/>
        <v>-100</v>
      </c>
      <c r="N121" s="102">
        <f t="shared" si="18"/>
        <v>0</v>
      </c>
      <c r="O121" s="38">
        <v>2395</v>
      </c>
      <c r="P121" s="38"/>
      <c r="Q121" s="102">
        <f t="shared" si="19"/>
        <v>-100</v>
      </c>
      <c r="R121" s="31" t="s">
        <v>5</v>
      </c>
      <c r="S121" s="1">
        <v>1</v>
      </c>
      <c r="T121" s="157"/>
    </row>
    <row r="122" spans="1:20" s="6" customFormat="1" ht="14.25" hidden="1" customHeight="1">
      <c r="A122" s="22">
        <v>14</v>
      </c>
      <c r="B122" s="23" t="s">
        <v>112</v>
      </c>
      <c r="C122" s="24">
        <v>89</v>
      </c>
      <c r="D122" s="24">
        <f>'[14]1.RSP Districts '!D122</f>
        <v>7</v>
      </c>
      <c r="E122" s="24"/>
      <c r="F122" s="102">
        <f t="shared" si="15"/>
        <v>-99.999999999999986</v>
      </c>
      <c r="G122" s="102">
        <f t="shared" si="16"/>
        <v>0</v>
      </c>
      <c r="H122" s="24">
        <f>'[14]1.RSP Districts '!I122</f>
        <v>20</v>
      </c>
      <c r="I122" s="24"/>
      <c r="J122" s="24">
        <v>122340</v>
      </c>
      <c r="K122" s="24">
        <v>11592</v>
      </c>
      <c r="L122" s="24"/>
      <c r="M122" s="102">
        <f t="shared" si="17"/>
        <v>-100</v>
      </c>
      <c r="N122" s="102">
        <f t="shared" si="18"/>
        <v>0</v>
      </c>
      <c r="O122" s="24">
        <v>894</v>
      </c>
      <c r="P122" s="24"/>
      <c r="Q122" s="102">
        <f t="shared" si="19"/>
        <v>-100</v>
      </c>
      <c r="R122" s="31" t="s">
        <v>6</v>
      </c>
      <c r="S122" s="1">
        <v>1</v>
      </c>
      <c r="T122" s="157"/>
    </row>
    <row r="123" spans="1:20" s="6" customFormat="1" ht="14.25" hidden="1" customHeight="1">
      <c r="A123" s="22">
        <v>15</v>
      </c>
      <c r="B123" s="23" t="s">
        <v>113</v>
      </c>
      <c r="C123" s="24">
        <v>98</v>
      </c>
      <c r="D123" s="24">
        <v>20</v>
      </c>
      <c r="E123" s="24"/>
      <c r="F123" s="102">
        <f t="shared" si="15"/>
        <v>-100</v>
      </c>
      <c r="G123" s="102">
        <f t="shared" si="16"/>
        <v>0</v>
      </c>
      <c r="H123" s="24">
        <f>'[14]1.RSP Districts '!I123</f>
        <v>129</v>
      </c>
      <c r="I123" s="24"/>
      <c r="J123" s="24">
        <v>122340</v>
      </c>
      <c r="K123" s="24">
        <v>28154</v>
      </c>
      <c r="L123" s="24"/>
      <c r="M123" s="102">
        <f t="shared" si="17"/>
        <v>-99.999999999999986</v>
      </c>
      <c r="N123" s="102">
        <f t="shared" si="18"/>
        <v>0</v>
      </c>
      <c r="O123" s="24">
        <v>1737</v>
      </c>
      <c r="P123" s="24"/>
      <c r="Q123" s="102">
        <f t="shared" si="19"/>
        <v>-100</v>
      </c>
      <c r="R123" s="31" t="s">
        <v>6</v>
      </c>
      <c r="S123" s="1">
        <v>1</v>
      </c>
      <c r="T123" s="157"/>
    </row>
    <row r="124" spans="1:20" ht="14.25" hidden="1" customHeight="1">
      <c r="A124" s="22">
        <v>15</v>
      </c>
      <c r="B124" s="23" t="s">
        <v>114</v>
      </c>
      <c r="C124" s="24">
        <v>98</v>
      </c>
      <c r="D124" s="38">
        <f>'[2]1.RSP Districts '!D124</f>
        <v>70</v>
      </c>
      <c r="E124" s="38"/>
      <c r="F124" s="102">
        <f t="shared" si="15"/>
        <v>-100</v>
      </c>
      <c r="G124" s="102">
        <f t="shared" si="16"/>
        <v>0</v>
      </c>
      <c r="H124" s="38">
        <f>'[2]1.RSP Districts '!H124</f>
        <v>305</v>
      </c>
      <c r="I124" s="38"/>
      <c r="J124" s="24">
        <v>78458</v>
      </c>
      <c r="K124" s="38">
        <v>17775</v>
      </c>
      <c r="L124" s="38"/>
      <c r="M124" s="102">
        <f t="shared" si="17"/>
        <v>-100</v>
      </c>
      <c r="N124" s="102">
        <f t="shared" si="18"/>
        <v>0</v>
      </c>
      <c r="O124" s="38">
        <v>1662</v>
      </c>
      <c r="P124" s="38"/>
      <c r="Q124" s="102">
        <f t="shared" si="19"/>
        <v>-100</v>
      </c>
      <c r="R124" s="26" t="s">
        <v>5</v>
      </c>
      <c r="S124" s="1">
        <v>1</v>
      </c>
      <c r="T124" s="157"/>
    </row>
    <row r="125" spans="1:20" s="6" customFormat="1" ht="14.25" hidden="1" customHeight="1">
      <c r="A125" s="22">
        <v>16</v>
      </c>
      <c r="B125" s="23" t="s">
        <v>115</v>
      </c>
      <c r="C125" s="24">
        <v>49</v>
      </c>
      <c r="D125" s="38">
        <f>'[2]1.RSP Districts '!D125</f>
        <v>45</v>
      </c>
      <c r="E125" s="38"/>
      <c r="F125" s="102">
        <f t="shared" si="15"/>
        <v>-100</v>
      </c>
      <c r="G125" s="102">
        <f t="shared" si="16"/>
        <v>0</v>
      </c>
      <c r="H125" s="38">
        <f>'[2]1.RSP Districts '!H125</f>
        <v>329</v>
      </c>
      <c r="I125" s="38"/>
      <c r="J125" s="29">
        <v>47082</v>
      </c>
      <c r="K125" s="38">
        <v>138454</v>
      </c>
      <c r="L125" s="38"/>
      <c r="M125" s="102">
        <f t="shared" si="17"/>
        <v>-100</v>
      </c>
      <c r="N125" s="102">
        <f t="shared" si="18"/>
        <v>0</v>
      </c>
      <c r="O125" s="38">
        <v>7945</v>
      </c>
      <c r="P125" s="38"/>
      <c r="Q125" s="102">
        <f t="shared" si="19"/>
        <v>-100</v>
      </c>
      <c r="R125" s="31" t="s">
        <v>5</v>
      </c>
      <c r="S125" s="1">
        <v>1</v>
      </c>
      <c r="T125" s="157"/>
    </row>
    <row r="126" spans="1:20" s="6" customFormat="1" ht="14.25" hidden="1" customHeight="1">
      <c r="A126" s="22">
        <v>17</v>
      </c>
      <c r="B126" s="23" t="s">
        <v>116</v>
      </c>
      <c r="C126" s="24">
        <v>30</v>
      </c>
      <c r="D126" s="24">
        <f>'[14]1.RSP Districts '!D126</f>
        <v>27</v>
      </c>
      <c r="E126" s="24"/>
      <c r="F126" s="102">
        <f t="shared" si="15"/>
        <v>-100</v>
      </c>
      <c r="G126" s="102">
        <f t="shared" si="16"/>
        <v>0</v>
      </c>
      <c r="H126" s="24">
        <f>'[14]1.RSP Districts '!I126</f>
        <v>156</v>
      </c>
      <c r="I126" s="24"/>
      <c r="J126" s="24">
        <v>39648</v>
      </c>
      <c r="K126" s="24">
        <v>42139</v>
      </c>
      <c r="L126" s="24"/>
      <c r="M126" s="102">
        <f t="shared" si="17"/>
        <v>-100</v>
      </c>
      <c r="N126" s="102">
        <f t="shared" si="18"/>
        <v>0</v>
      </c>
      <c r="O126" s="24">
        <v>2845</v>
      </c>
      <c r="P126" s="24"/>
      <c r="Q126" s="102">
        <f t="shared" si="19"/>
        <v>-100</v>
      </c>
      <c r="R126" s="31" t="s">
        <v>6</v>
      </c>
      <c r="S126" s="1">
        <v>1</v>
      </c>
      <c r="T126" s="157"/>
    </row>
    <row r="127" spans="1:20" s="6" customFormat="1" ht="14.25" hidden="1" customHeight="1">
      <c r="A127" s="22">
        <v>18</v>
      </c>
      <c r="B127" s="23" t="s">
        <v>117</v>
      </c>
      <c r="C127" s="24">
        <v>44</v>
      </c>
      <c r="D127" s="24">
        <f>'[14]1.RSP Districts '!D127</f>
        <v>24</v>
      </c>
      <c r="E127" s="24"/>
      <c r="F127" s="102">
        <f t="shared" si="15"/>
        <v>-100</v>
      </c>
      <c r="G127" s="102">
        <f t="shared" si="16"/>
        <v>0</v>
      </c>
      <c r="H127" s="24">
        <f>'[14]1.RSP Districts '!I127</f>
        <v>346</v>
      </c>
      <c r="I127" s="24"/>
      <c r="J127" s="24">
        <v>159486</v>
      </c>
      <c r="K127" s="24">
        <v>124392</v>
      </c>
      <c r="L127" s="24"/>
      <c r="M127" s="102">
        <f t="shared" si="17"/>
        <v>-100</v>
      </c>
      <c r="N127" s="102">
        <f t="shared" si="18"/>
        <v>0</v>
      </c>
      <c r="O127" s="24">
        <v>8231</v>
      </c>
      <c r="P127" s="24"/>
      <c r="Q127" s="102">
        <f t="shared" si="19"/>
        <v>-100</v>
      </c>
      <c r="R127" s="31" t="s">
        <v>6</v>
      </c>
      <c r="S127" s="1">
        <v>1</v>
      </c>
      <c r="T127" s="157"/>
    </row>
    <row r="128" spans="1:20" s="6" customFormat="1" ht="14.25" hidden="1" customHeight="1">
      <c r="A128" s="22">
        <v>19</v>
      </c>
      <c r="B128" s="23" t="s">
        <v>118</v>
      </c>
      <c r="C128" s="24">
        <v>70</v>
      </c>
      <c r="D128" s="38">
        <f>'[2]1.RSP Districts '!D128</f>
        <v>70</v>
      </c>
      <c r="E128" s="38"/>
      <c r="F128" s="102">
        <f t="shared" si="15"/>
        <v>-100</v>
      </c>
      <c r="G128" s="102">
        <f t="shared" si="16"/>
        <v>0</v>
      </c>
      <c r="H128" s="38">
        <f>'[2]1.RSP Districts '!H128</f>
        <v>386</v>
      </c>
      <c r="I128" s="38"/>
      <c r="J128" s="29">
        <v>202554</v>
      </c>
      <c r="K128" s="38">
        <v>46705</v>
      </c>
      <c r="L128" s="38"/>
      <c r="M128" s="102">
        <f t="shared" si="17"/>
        <v>-100</v>
      </c>
      <c r="N128" s="102">
        <f t="shared" si="18"/>
        <v>0</v>
      </c>
      <c r="O128" s="38">
        <v>3886</v>
      </c>
      <c r="P128" s="38"/>
      <c r="Q128" s="102">
        <f t="shared" si="19"/>
        <v>-100</v>
      </c>
      <c r="R128" s="31" t="s">
        <v>5</v>
      </c>
      <c r="S128" s="1">
        <v>1</v>
      </c>
      <c r="T128" s="157"/>
    </row>
    <row r="129" spans="1:20" s="6" customFormat="1" ht="14.25" hidden="1" customHeight="1">
      <c r="A129" s="22">
        <v>19</v>
      </c>
      <c r="B129" s="23" t="s">
        <v>218</v>
      </c>
      <c r="C129" s="24">
        <v>70</v>
      </c>
      <c r="D129" s="24">
        <f>'[14]1.RSP Districts '!D129</f>
        <v>5</v>
      </c>
      <c r="E129" s="24"/>
      <c r="F129" s="102">
        <f t="shared" si="15"/>
        <v>-100</v>
      </c>
      <c r="G129" s="102">
        <f t="shared" si="16"/>
        <v>0</v>
      </c>
      <c r="H129" s="24">
        <f>'[14]1.RSP Districts '!I129</f>
        <v>14</v>
      </c>
      <c r="I129" s="24"/>
      <c r="J129" s="29">
        <v>202554</v>
      </c>
      <c r="K129" s="24">
        <v>5751</v>
      </c>
      <c r="L129" s="24"/>
      <c r="M129" s="102">
        <f t="shared" si="17"/>
        <v>-100</v>
      </c>
      <c r="N129" s="102">
        <f t="shared" si="18"/>
        <v>0</v>
      </c>
      <c r="O129" s="24">
        <v>382</v>
      </c>
      <c r="P129" s="24"/>
      <c r="Q129" s="102">
        <f t="shared" si="19"/>
        <v>-100</v>
      </c>
      <c r="R129" s="31" t="s">
        <v>6</v>
      </c>
      <c r="S129" s="1">
        <v>1</v>
      </c>
      <c r="T129" s="157"/>
    </row>
    <row r="130" spans="1:20" s="6" customFormat="1" ht="14.25" hidden="1" customHeight="1">
      <c r="A130" s="22">
        <v>20</v>
      </c>
      <c r="B130" s="23" t="s">
        <v>119</v>
      </c>
      <c r="C130" s="24">
        <v>65</v>
      </c>
      <c r="D130" s="24">
        <f>'[14]1.RSP Districts '!D130</f>
        <v>53</v>
      </c>
      <c r="E130" s="24"/>
      <c r="F130" s="102">
        <f t="shared" si="15"/>
        <v>-100</v>
      </c>
      <c r="G130" s="102">
        <f t="shared" si="16"/>
        <v>0</v>
      </c>
      <c r="H130" s="24">
        <f>'[14]1.RSP Districts '!I130</f>
        <v>244</v>
      </c>
      <c r="I130" s="24"/>
      <c r="J130" s="24">
        <v>106515</v>
      </c>
      <c r="K130" s="24">
        <v>36748</v>
      </c>
      <c r="L130" s="24"/>
      <c r="M130" s="102">
        <f t="shared" si="17"/>
        <v>-100</v>
      </c>
      <c r="N130" s="102">
        <f t="shared" si="18"/>
        <v>0</v>
      </c>
      <c r="O130" s="24">
        <v>2383</v>
      </c>
      <c r="P130" s="24"/>
      <c r="Q130" s="102">
        <f t="shared" si="19"/>
        <v>-100.00000000000001</v>
      </c>
      <c r="R130" s="31" t="s">
        <v>6</v>
      </c>
      <c r="S130" s="1">
        <v>1</v>
      </c>
      <c r="T130" s="157"/>
    </row>
    <row r="131" spans="1:20" s="6" customFormat="1" ht="14.25" hidden="1" customHeight="1">
      <c r="A131" s="22">
        <v>20</v>
      </c>
      <c r="B131" s="23" t="s">
        <v>245</v>
      </c>
      <c r="C131" s="24">
        <v>65</v>
      </c>
      <c r="D131" s="38">
        <f>'[2]1.RSP Districts '!D131</f>
        <v>9</v>
      </c>
      <c r="E131" s="38"/>
      <c r="F131" s="102">
        <f t="shared" si="15"/>
        <v>-100</v>
      </c>
      <c r="G131" s="102">
        <f t="shared" si="16"/>
        <v>0</v>
      </c>
      <c r="H131" s="38">
        <f>'[2]1.RSP Districts '!H131</f>
        <v>21</v>
      </c>
      <c r="I131" s="38"/>
      <c r="J131" s="24">
        <v>106515</v>
      </c>
      <c r="K131" s="38">
        <v>414</v>
      </c>
      <c r="L131" s="38"/>
      <c r="M131" s="102">
        <f t="shared" si="17"/>
        <v>-100.00000000000001</v>
      </c>
      <c r="N131" s="102">
        <f t="shared" si="18"/>
        <v>0</v>
      </c>
      <c r="O131" s="38">
        <v>35</v>
      </c>
      <c r="P131" s="38"/>
      <c r="Q131" s="102">
        <f t="shared" si="19"/>
        <v>-100</v>
      </c>
      <c r="R131" s="31" t="s">
        <v>5</v>
      </c>
      <c r="S131" s="1">
        <v>1</v>
      </c>
      <c r="T131" s="157" t="s">
        <v>246</v>
      </c>
    </row>
    <row r="132" spans="1:20" s="6" customFormat="1" ht="14.25" hidden="1" customHeight="1">
      <c r="A132" s="22">
        <v>21</v>
      </c>
      <c r="B132" s="23" t="s">
        <v>120</v>
      </c>
      <c r="C132" s="24">
        <v>53</v>
      </c>
      <c r="D132" s="38">
        <f>'[2]1.RSP Districts '!D132</f>
        <v>56</v>
      </c>
      <c r="E132" s="38"/>
      <c r="F132" s="102">
        <f t="shared" si="15"/>
        <v>-99.999999999999986</v>
      </c>
      <c r="G132" s="102">
        <f t="shared" si="16"/>
        <v>0</v>
      </c>
      <c r="H132" s="38">
        <f>'[2]1.RSP Districts '!H132</f>
        <v>228</v>
      </c>
      <c r="I132" s="38"/>
      <c r="J132" s="29">
        <v>120486</v>
      </c>
      <c r="K132" s="38">
        <v>79354</v>
      </c>
      <c r="L132" s="38"/>
      <c r="M132" s="102">
        <f t="shared" si="17"/>
        <v>-100</v>
      </c>
      <c r="N132" s="102">
        <f t="shared" si="18"/>
        <v>0</v>
      </c>
      <c r="O132" s="38">
        <v>4538</v>
      </c>
      <c r="P132" s="38"/>
      <c r="Q132" s="102">
        <f t="shared" si="19"/>
        <v>-100</v>
      </c>
      <c r="R132" s="31" t="s">
        <v>5</v>
      </c>
      <c r="S132" s="1">
        <v>1</v>
      </c>
      <c r="T132" s="157"/>
    </row>
    <row r="133" spans="1:20" s="6" customFormat="1" ht="14.25" hidden="1" customHeight="1">
      <c r="A133" s="22">
        <v>22</v>
      </c>
      <c r="B133" s="23" t="s">
        <v>121</v>
      </c>
      <c r="C133" s="24">
        <v>69</v>
      </c>
      <c r="D133" s="24">
        <f>'[14]1.RSP Districts '!D133</f>
        <v>22</v>
      </c>
      <c r="E133" s="24"/>
      <c r="F133" s="102">
        <f t="shared" si="15"/>
        <v>-100</v>
      </c>
      <c r="G133" s="102">
        <f t="shared" si="16"/>
        <v>0</v>
      </c>
      <c r="H133" s="24">
        <f>'[14]1.RSP Districts '!I133</f>
        <v>148</v>
      </c>
      <c r="I133" s="24"/>
      <c r="J133" s="24">
        <v>261678</v>
      </c>
      <c r="K133" s="24">
        <v>35212</v>
      </c>
      <c r="L133" s="24"/>
      <c r="M133" s="102">
        <f t="shared" si="17"/>
        <v>-100</v>
      </c>
      <c r="N133" s="102">
        <f t="shared" si="18"/>
        <v>0</v>
      </c>
      <c r="O133" s="24">
        <v>2382</v>
      </c>
      <c r="P133" s="24"/>
      <c r="Q133" s="102">
        <f t="shared" si="19"/>
        <v>-100</v>
      </c>
      <c r="R133" s="31" t="s">
        <v>6</v>
      </c>
      <c r="S133" s="1">
        <v>1</v>
      </c>
      <c r="T133" s="157"/>
    </row>
    <row r="134" spans="1:20" ht="14.25" hidden="1" customHeight="1">
      <c r="A134" s="22">
        <v>22</v>
      </c>
      <c r="B134" s="23" t="s">
        <v>122</v>
      </c>
      <c r="C134" s="24">
        <v>69</v>
      </c>
      <c r="D134" s="38">
        <f>'[2]1.RSP Districts '!D134</f>
        <v>58</v>
      </c>
      <c r="E134" s="38"/>
      <c r="F134" s="102">
        <f t="shared" si="15"/>
        <v>-100</v>
      </c>
      <c r="G134" s="102">
        <f t="shared" si="16"/>
        <v>0</v>
      </c>
      <c r="H134" s="38">
        <f>'[2]1.RSP Districts '!H134</f>
        <v>169</v>
      </c>
      <c r="I134" s="38"/>
      <c r="J134" s="24">
        <v>261678</v>
      </c>
      <c r="K134" s="38">
        <v>17654</v>
      </c>
      <c r="L134" s="38"/>
      <c r="M134" s="102">
        <f t="shared" si="17"/>
        <v>-100</v>
      </c>
      <c r="N134" s="102">
        <f t="shared" si="18"/>
        <v>0</v>
      </c>
      <c r="O134" s="38">
        <v>1958</v>
      </c>
      <c r="P134" s="38"/>
      <c r="Q134" s="102">
        <f t="shared" si="19"/>
        <v>-100.00000000000001</v>
      </c>
      <c r="R134" s="26" t="s">
        <v>5</v>
      </c>
      <c r="S134" s="1">
        <v>1</v>
      </c>
      <c r="T134" s="157"/>
    </row>
    <row r="135" spans="1:20" s="6" customFormat="1" ht="14.25" hidden="1" customHeight="1">
      <c r="A135" s="22">
        <v>23</v>
      </c>
      <c r="B135" s="23" t="s">
        <v>123</v>
      </c>
      <c r="C135" s="24">
        <v>93</v>
      </c>
      <c r="D135" s="24">
        <f>'[14]1.RSP Districts '!D135</f>
        <v>16</v>
      </c>
      <c r="E135" s="24"/>
      <c r="F135" s="102">
        <f t="shared" si="15"/>
        <v>-100</v>
      </c>
      <c r="G135" s="102">
        <f t="shared" si="16"/>
        <v>0</v>
      </c>
      <c r="H135" s="24">
        <f>'[14]1.RSP Districts '!I135</f>
        <v>256</v>
      </c>
      <c r="I135" s="24"/>
      <c r="J135" s="24">
        <v>317647</v>
      </c>
      <c r="K135" s="24">
        <v>150120</v>
      </c>
      <c r="L135" s="24"/>
      <c r="M135" s="102">
        <f t="shared" si="17"/>
        <v>-100</v>
      </c>
      <c r="N135" s="102">
        <f t="shared" si="18"/>
        <v>0</v>
      </c>
      <c r="O135" s="24">
        <v>9113</v>
      </c>
      <c r="P135" s="24"/>
      <c r="Q135" s="102">
        <f t="shared" si="19"/>
        <v>-100</v>
      </c>
      <c r="R135" s="31" t="s">
        <v>6</v>
      </c>
      <c r="S135" s="1">
        <v>1</v>
      </c>
      <c r="T135" s="157"/>
    </row>
    <row r="136" spans="1:20" ht="14.25" hidden="1" customHeight="1">
      <c r="A136" s="22">
        <v>23</v>
      </c>
      <c r="B136" s="23" t="s">
        <v>124</v>
      </c>
      <c r="C136" s="24">
        <v>93</v>
      </c>
      <c r="D136" s="38">
        <f>'[2]1.RSP Districts '!D136</f>
        <v>24</v>
      </c>
      <c r="E136" s="38"/>
      <c r="F136" s="102">
        <f t="shared" si="15"/>
        <v>-100</v>
      </c>
      <c r="G136" s="102">
        <f t="shared" si="16"/>
        <v>0</v>
      </c>
      <c r="H136" s="38">
        <f>'[2]1.RSP Districts '!H136</f>
        <v>0</v>
      </c>
      <c r="I136" s="38"/>
      <c r="J136" s="24">
        <v>317647</v>
      </c>
      <c r="K136" s="38">
        <v>0</v>
      </c>
      <c r="L136" s="38"/>
      <c r="M136" s="102">
        <v>0</v>
      </c>
      <c r="N136" s="102">
        <f t="shared" si="18"/>
        <v>0</v>
      </c>
      <c r="O136" s="38">
        <v>0</v>
      </c>
      <c r="P136" s="38"/>
      <c r="Q136" s="102">
        <v>0</v>
      </c>
      <c r="R136" s="26" t="s">
        <v>5</v>
      </c>
      <c r="S136" s="1">
        <v>1</v>
      </c>
      <c r="T136" s="157"/>
    </row>
    <row r="137" spans="1:20" ht="14.25" hidden="1" customHeight="1">
      <c r="A137" s="22">
        <v>24</v>
      </c>
      <c r="B137" s="23" t="s">
        <v>226</v>
      </c>
      <c r="C137" s="24">
        <v>65</v>
      </c>
      <c r="D137" s="24">
        <f>'[14]1.RSP Districts '!D137</f>
        <v>0</v>
      </c>
      <c r="E137" s="24"/>
      <c r="F137" s="102">
        <v>0</v>
      </c>
      <c r="G137" s="102">
        <f t="shared" si="16"/>
        <v>0</v>
      </c>
      <c r="H137" s="24">
        <v>229</v>
      </c>
      <c r="I137" s="24"/>
      <c r="J137" s="24">
        <v>187137</v>
      </c>
      <c r="K137" s="24">
        <v>695</v>
      </c>
      <c r="L137" s="24"/>
      <c r="M137" s="102">
        <f t="shared" si="17"/>
        <v>-100</v>
      </c>
      <c r="N137" s="102">
        <f t="shared" si="18"/>
        <v>0</v>
      </c>
      <c r="O137" s="24">
        <v>45</v>
      </c>
      <c r="P137" s="24"/>
      <c r="Q137" s="102">
        <f t="shared" si="19"/>
        <v>-100</v>
      </c>
      <c r="R137" s="79" t="s">
        <v>6</v>
      </c>
      <c r="S137" s="1">
        <v>1</v>
      </c>
      <c r="T137" s="157"/>
    </row>
    <row r="138" spans="1:20" s="6" customFormat="1" ht="14.25" hidden="1" customHeight="1">
      <c r="A138" s="22">
        <v>25</v>
      </c>
      <c r="B138" s="23" t="s">
        <v>125</v>
      </c>
      <c r="C138" s="24">
        <v>74</v>
      </c>
      <c r="D138" s="24">
        <f>'[14]1.RSP Districts '!D138</f>
        <v>61</v>
      </c>
      <c r="E138" s="24"/>
      <c r="F138" s="102">
        <f t="shared" si="15"/>
        <v>-100</v>
      </c>
      <c r="G138" s="102">
        <f t="shared" si="16"/>
        <v>0</v>
      </c>
      <c r="H138" s="24">
        <f>'[14]1.RSP Districts '!I138</f>
        <v>554</v>
      </c>
      <c r="I138" s="24"/>
      <c r="J138" s="24">
        <v>150406</v>
      </c>
      <c r="K138" s="24">
        <v>114217</v>
      </c>
      <c r="L138" s="24"/>
      <c r="M138" s="102">
        <f t="shared" si="17"/>
        <v>-100</v>
      </c>
      <c r="N138" s="102">
        <f t="shared" si="18"/>
        <v>0</v>
      </c>
      <c r="O138" s="24">
        <v>5482</v>
      </c>
      <c r="P138" s="24"/>
      <c r="Q138" s="102">
        <f t="shared" si="19"/>
        <v>-100</v>
      </c>
      <c r="R138" s="31" t="s">
        <v>6</v>
      </c>
      <c r="S138" s="1">
        <v>1</v>
      </c>
      <c r="T138" s="157"/>
    </row>
    <row r="139" spans="1:20" s="6" customFormat="1" ht="14.25" hidden="1" customHeight="1">
      <c r="A139" s="22">
        <v>26</v>
      </c>
      <c r="B139" s="23" t="s">
        <v>126</v>
      </c>
      <c r="C139" s="24">
        <v>111</v>
      </c>
      <c r="D139" s="24">
        <f>'[14]1.RSP Districts '!D139</f>
        <v>27</v>
      </c>
      <c r="E139" s="24"/>
      <c r="F139" s="102">
        <f t="shared" si="15"/>
        <v>-100</v>
      </c>
      <c r="G139" s="102">
        <f t="shared" si="16"/>
        <v>0</v>
      </c>
      <c r="H139" s="24">
        <f>'[14]1.RSP Districts '!I139</f>
        <v>229</v>
      </c>
      <c r="I139" s="24"/>
      <c r="J139" s="24">
        <v>270191</v>
      </c>
      <c r="K139" s="24">
        <v>35443</v>
      </c>
      <c r="L139" s="24"/>
      <c r="M139" s="102">
        <f t="shared" si="17"/>
        <v>-100</v>
      </c>
      <c r="N139" s="102">
        <f t="shared" si="18"/>
        <v>0</v>
      </c>
      <c r="O139" s="24">
        <v>2341</v>
      </c>
      <c r="P139" s="24"/>
      <c r="Q139" s="102">
        <f t="shared" si="19"/>
        <v>-100</v>
      </c>
      <c r="R139" s="31" t="s">
        <v>6</v>
      </c>
      <c r="S139" s="1">
        <v>1</v>
      </c>
      <c r="T139" s="157"/>
    </row>
    <row r="140" spans="1:20" s="6" customFormat="1" ht="14.25" hidden="1" customHeight="1">
      <c r="A140" s="22">
        <v>27</v>
      </c>
      <c r="B140" s="23" t="s">
        <v>127</v>
      </c>
      <c r="C140" s="24">
        <v>63</v>
      </c>
      <c r="D140" s="24">
        <f>'[14]1.RSP Districts '!D140</f>
        <v>20</v>
      </c>
      <c r="E140" s="24"/>
      <c r="F140" s="102">
        <f t="shared" si="15"/>
        <v>-100</v>
      </c>
      <c r="G140" s="102">
        <f t="shared" si="16"/>
        <v>0</v>
      </c>
      <c r="H140" s="24">
        <f>'[14]1.RSP Districts '!I140</f>
        <v>174</v>
      </c>
      <c r="I140" s="24"/>
      <c r="J140" s="24">
        <v>174888</v>
      </c>
      <c r="K140" s="24">
        <v>24322</v>
      </c>
      <c r="L140" s="24"/>
      <c r="M140" s="102">
        <f t="shared" si="17"/>
        <v>-100</v>
      </c>
      <c r="N140" s="102">
        <f t="shared" si="18"/>
        <v>0</v>
      </c>
      <c r="O140" s="24">
        <v>1577</v>
      </c>
      <c r="P140" s="24"/>
      <c r="Q140" s="102">
        <f t="shared" si="19"/>
        <v>-100</v>
      </c>
      <c r="R140" s="31" t="s">
        <v>6</v>
      </c>
      <c r="S140" s="1">
        <v>1</v>
      </c>
      <c r="T140" s="157"/>
    </row>
    <row r="141" spans="1:20" ht="14.25" hidden="1" customHeight="1">
      <c r="A141" s="22">
        <v>27</v>
      </c>
      <c r="B141" s="23" t="s">
        <v>128</v>
      </c>
      <c r="C141" s="24">
        <v>63</v>
      </c>
      <c r="D141" s="38">
        <f>'[2]1.RSP Districts '!D141</f>
        <v>54</v>
      </c>
      <c r="E141" s="38"/>
      <c r="F141" s="102">
        <f t="shared" si="15"/>
        <v>-100</v>
      </c>
      <c r="G141" s="102">
        <f t="shared" si="16"/>
        <v>0</v>
      </c>
      <c r="H141" s="38">
        <f>'[2]1.RSP Districts '!H141</f>
        <v>291</v>
      </c>
      <c r="I141" s="38"/>
      <c r="J141" s="24">
        <v>174888</v>
      </c>
      <c r="K141" s="38">
        <v>12295</v>
      </c>
      <c r="L141" s="38"/>
      <c r="M141" s="102">
        <f t="shared" si="17"/>
        <v>-100</v>
      </c>
      <c r="N141" s="102">
        <f t="shared" si="18"/>
        <v>0</v>
      </c>
      <c r="O141" s="38">
        <v>1486</v>
      </c>
      <c r="P141" s="38"/>
      <c r="Q141" s="102">
        <f t="shared" si="19"/>
        <v>-100</v>
      </c>
      <c r="R141" s="26" t="s">
        <v>5</v>
      </c>
      <c r="S141" s="1">
        <v>1</v>
      </c>
      <c r="T141" s="157"/>
    </row>
    <row r="142" spans="1:20" s="6" customFormat="1" ht="14.25" hidden="1" customHeight="1">
      <c r="A142" s="22">
        <v>28</v>
      </c>
      <c r="B142" s="23" t="s">
        <v>129</v>
      </c>
      <c r="C142" s="24">
        <v>103</v>
      </c>
      <c r="D142" s="38">
        <f>'[2]1.RSP Districts '!D142</f>
        <v>103</v>
      </c>
      <c r="E142" s="38"/>
      <c r="F142" s="102">
        <f t="shared" si="15"/>
        <v>-100</v>
      </c>
      <c r="G142" s="102">
        <f t="shared" si="16"/>
        <v>0</v>
      </c>
      <c r="H142" s="38">
        <f>'[2]1.RSP Districts '!H142</f>
        <v>474</v>
      </c>
      <c r="I142" s="38"/>
      <c r="J142" s="29">
        <v>338677</v>
      </c>
      <c r="K142" s="38">
        <v>78596</v>
      </c>
      <c r="L142" s="38"/>
      <c r="M142" s="102">
        <f t="shared" si="17"/>
        <v>-100</v>
      </c>
      <c r="N142" s="102">
        <f t="shared" si="18"/>
        <v>0</v>
      </c>
      <c r="O142" s="38">
        <v>7171</v>
      </c>
      <c r="P142" s="38"/>
      <c r="Q142" s="102">
        <f t="shared" si="19"/>
        <v>-100.00000000000001</v>
      </c>
      <c r="R142" s="31" t="s">
        <v>5</v>
      </c>
      <c r="S142" s="1">
        <v>1</v>
      </c>
      <c r="T142" s="157"/>
    </row>
    <row r="143" spans="1:20" s="6" customFormat="1" ht="14.25" hidden="1" customHeight="1">
      <c r="A143" s="22">
        <v>29</v>
      </c>
      <c r="B143" s="23" t="s">
        <v>130</v>
      </c>
      <c r="C143" s="24">
        <v>44</v>
      </c>
      <c r="D143" s="38">
        <f>'[2]1.RSP Districts '!D143</f>
        <v>43</v>
      </c>
      <c r="E143" s="38"/>
      <c r="F143" s="102">
        <f t="shared" si="15"/>
        <v>-100</v>
      </c>
      <c r="G143" s="102">
        <f t="shared" si="16"/>
        <v>0</v>
      </c>
      <c r="H143" s="38">
        <f>'[2]1.RSP Districts '!H143</f>
        <v>373</v>
      </c>
      <c r="I143" s="38"/>
      <c r="J143" s="29">
        <v>133182</v>
      </c>
      <c r="K143" s="38">
        <v>101974</v>
      </c>
      <c r="L143" s="38"/>
      <c r="M143" s="102">
        <f t="shared" si="17"/>
        <v>-100</v>
      </c>
      <c r="N143" s="102">
        <f t="shared" si="18"/>
        <v>0</v>
      </c>
      <c r="O143" s="38">
        <v>6795</v>
      </c>
      <c r="P143" s="38"/>
      <c r="Q143" s="102">
        <f t="shared" si="19"/>
        <v>-100</v>
      </c>
      <c r="R143" s="31" t="s">
        <v>5</v>
      </c>
      <c r="S143" s="1">
        <v>1</v>
      </c>
      <c r="T143" s="157"/>
    </row>
    <row r="144" spans="1:20" s="6" customFormat="1" ht="14.25" hidden="1" customHeight="1">
      <c r="A144" s="22">
        <v>29</v>
      </c>
      <c r="B144" s="23" t="s">
        <v>227</v>
      </c>
      <c r="C144" s="24">
        <v>44</v>
      </c>
      <c r="D144" s="24">
        <f>'[14]1.RSP Districts '!D144</f>
        <v>0</v>
      </c>
      <c r="E144" s="24"/>
      <c r="F144" s="102">
        <v>0</v>
      </c>
      <c r="G144" s="102">
        <f t="shared" si="16"/>
        <v>0</v>
      </c>
      <c r="H144" s="24">
        <v>319</v>
      </c>
      <c r="I144" s="24"/>
      <c r="J144" s="24">
        <v>133182</v>
      </c>
      <c r="K144" s="24">
        <v>18650</v>
      </c>
      <c r="L144" s="24"/>
      <c r="M144" s="102">
        <f t="shared" si="17"/>
        <v>-100</v>
      </c>
      <c r="N144" s="102">
        <f t="shared" si="18"/>
        <v>0</v>
      </c>
      <c r="O144" s="24">
        <v>1218</v>
      </c>
      <c r="P144" s="24"/>
      <c r="Q144" s="102">
        <f t="shared" si="19"/>
        <v>-100</v>
      </c>
      <c r="R144" s="31" t="s">
        <v>6</v>
      </c>
      <c r="S144" s="1">
        <v>1</v>
      </c>
      <c r="T144" s="157"/>
    </row>
    <row r="145" spans="1:20" s="6" customFormat="1" ht="14.25" hidden="1" customHeight="1">
      <c r="A145" s="22">
        <v>30</v>
      </c>
      <c r="B145" s="23" t="s">
        <v>131</v>
      </c>
      <c r="C145" s="24">
        <v>58</v>
      </c>
      <c r="D145" s="38">
        <f>'[2]1.RSP Districts '!D145</f>
        <v>58</v>
      </c>
      <c r="E145" s="38"/>
      <c r="F145" s="102">
        <f t="shared" si="15"/>
        <v>-100</v>
      </c>
      <c r="G145" s="102">
        <f t="shared" si="16"/>
        <v>0</v>
      </c>
      <c r="H145" s="38">
        <f>'[2]1.RSP Districts '!H145</f>
        <v>319</v>
      </c>
      <c r="I145" s="38"/>
      <c r="J145" s="29">
        <v>256911</v>
      </c>
      <c r="K145" s="38">
        <v>89742</v>
      </c>
      <c r="L145" s="38"/>
      <c r="M145" s="102">
        <f t="shared" si="17"/>
        <v>-100</v>
      </c>
      <c r="N145" s="102">
        <f t="shared" si="18"/>
        <v>0</v>
      </c>
      <c r="O145" s="38">
        <v>6064</v>
      </c>
      <c r="P145" s="38"/>
      <c r="Q145" s="102">
        <f t="shared" si="19"/>
        <v>-100</v>
      </c>
      <c r="R145" s="31" t="s">
        <v>5</v>
      </c>
      <c r="S145" s="1">
        <v>1</v>
      </c>
      <c r="T145" s="157"/>
    </row>
    <row r="146" spans="1:20" s="6" customFormat="1" ht="14.25" hidden="1" customHeight="1">
      <c r="A146" s="22">
        <v>31</v>
      </c>
      <c r="B146" s="23" t="s">
        <v>132</v>
      </c>
      <c r="C146" s="24">
        <v>83</v>
      </c>
      <c r="D146" s="24">
        <f>'[14]1.RSP Districts '!D146</f>
        <v>39</v>
      </c>
      <c r="E146" s="24"/>
      <c r="F146" s="102">
        <f t="shared" si="15"/>
        <v>-100</v>
      </c>
      <c r="G146" s="102">
        <f t="shared" si="16"/>
        <v>0</v>
      </c>
      <c r="H146" s="24">
        <f>'[14]1.RSP Districts '!I146</f>
        <v>272</v>
      </c>
      <c r="I146" s="24"/>
      <c r="J146" s="24">
        <v>227413</v>
      </c>
      <c r="K146" s="24">
        <v>45822</v>
      </c>
      <c r="L146" s="24"/>
      <c r="M146" s="102">
        <f t="shared" si="17"/>
        <v>-100</v>
      </c>
      <c r="N146" s="102">
        <f t="shared" si="18"/>
        <v>0</v>
      </c>
      <c r="O146" s="24">
        <v>2888</v>
      </c>
      <c r="P146" s="24"/>
      <c r="Q146" s="102">
        <f t="shared" si="19"/>
        <v>-100</v>
      </c>
      <c r="R146" s="31" t="s">
        <v>6</v>
      </c>
      <c r="S146" s="1">
        <v>1</v>
      </c>
      <c r="T146" s="157"/>
    </row>
    <row r="147" spans="1:20" ht="14.25" hidden="1" customHeight="1">
      <c r="A147" s="22">
        <v>31</v>
      </c>
      <c r="B147" s="23" t="s">
        <v>133</v>
      </c>
      <c r="C147" s="24">
        <v>83</v>
      </c>
      <c r="D147" s="38">
        <f>'[2]1.RSP Districts '!D147</f>
        <v>52</v>
      </c>
      <c r="E147" s="38"/>
      <c r="F147" s="102">
        <f t="shared" si="15"/>
        <v>-100</v>
      </c>
      <c r="G147" s="102">
        <f t="shared" si="16"/>
        <v>0</v>
      </c>
      <c r="H147" s="38">
        <f>'[2]1.RSP Districts '!H147</f>
        <v>218</v>
      </c>
      <c r="I147" s="38"/>
      <c r="J147" s="24">
        <v>227413</v>
      </c>
      <c r="K147" s="38">
        <v>12414</v>
      </c>
      <c r="L147" s="38"/>
      <c r="M147" s="102">
        <f t="shared" si="17"/>
        <v>-100</v>
      </c>
      <c r="N147" s="102">
        <f t="shared" si="18"/>
        <v>0</v>
      </c>
      <c r="O147" s="38">
        <v>1201</v>
      </c>
      <c r="P147" s="38"/>
      <c r="Q147" s="102">
        <f t="shared" si="19"/>
        <v>-100</v>
      </c>
      <c r="R147" s="26" t="s">
        <v>5</v>
      </c>
      <c r="S147" s="1">
        <v>1</v>
      </c>
      <c r="T147" s="157"/>
    </row>
    <row r="148" spans="1:20" s="6" customFormat="1" ht="14.25" hidden="1" customHeight="1">
      <c r="A148" s="22">
        <v>32</v>
      </c>
      <c r="B148" s="23" t="s">
        <v>134</v>
      </c>
      <c r="C148" s="24">
        <v>132</v>
      </c>
      <c r="D148" s="24">
        <f>'[14]1.RSP Districts '!D148</f>
        <v>57</v>
      </c>
      <c r="E148" s="24"/>
      <c r="F148" s="102">
        <f t="shared" si="15"/>
        <v>-100.00000000000001</v>
      </c>
      <c r="G148" s="102">
        <f t="shared" si="16"/>
        <v>0</v>
      </c>
      <c r="H148" s="24">
        <f>'[14]1.RSP Districts '!I148</f>
        <v>224</v>
      </c>
      <c r="I148" s="24"/>
      <c r="J148" s="24">
        <v>303958</v>
      </c>
      <c r="K148" s="24">
        <v>49872</v>
      </c>
      <c r="L148" s="24"/>
      <c r="M148" s="102">
        <f t="shared" si="17"/>
        <v>-100</v>
      </c>
      <c r="N148" s="102">
        <f t="shared" si="18"/>
        <v>0</v>
      </c>
      <c r="O148" s="24">
        <v>3107</v>
      </c>
      <c r="P148" s="24"/>
      <c r="Q148" s="102">
        <f t="shared" si="19"/>
        <v>-100</v>
      </c>
      <c r="R148" s="31" t="s">
        <v>6</v>
      </c>
      <c r="S148" s="1">
        <v>1</v>
      </c>
      <c r="T148" s="157"/>
    </row>
    <row r="149" spans="1:20" s="6" customFormat="1" ht="14.25" hidden="1" customHeight="1">
      <c r="A149" s="22">
        <v>32</v>
      </c>
      <c r="B149" s="23" t="s">
        <v>238</v>
      </c>
      <c r="C149" s="24">
        <v>132</v>
      </c>
      <c r="D149" s="38">
        <f>'[2]1.RSP Districts '!D149</f>
        <v>116</v>
      </c>
      <c r="E149" s="38"/>
      <c r="F149" s="102">
        <v>0</v>
      </c>
      <c r="G149" s="102">
        <f t="shared" si="16"/>
        <v>0</v>
      </c>
      <c r="H149" s="38">
        <v>652</v>
      </c>
      <c r="I149" s="38"/>
      <c r="J149" s="24">
        <v>303958</v>
      </c>
      <c r="K149" s="38">
        <v>14114</v>
      </c>
      <c r="L149" s="38"/>
      <c r="M149" s="102">
        <f t="shared" si="17"/>
        <v>-100.00000000000001</v>
      </c>
      <c r="N149" s="102">
        <f t="shared" si="18"/>
        <v>0</v>
      </c>
      <c r="O149" s="38">
        <v>1230</v>
      </c>
      <c r="P149" s="38"/>
      <c r="Q149" s="102">
        <f t="shared" si="19"/>
        <v>-100</v>
      </c>
      <c r="R149" s="31" t="s">
        <v>5</v>
      </c>
      <c r="S149" s="1">
        <v>1</v>
      </c>
      <c r="T149" s="157"/>
    </row>
    <row r="150" spans="1:20" s="6" customFormat="1" ht="14.25" hidden="1" customHeight="1">
      <c r="A150" s="22">
        <v>33</v>
      </c>
      <c r="B150" s="23" t="s">
        <v>135</v>
      </c>
      <c r="C150" s="24">
        <v>91</v>
      </c>
      <c r="D150" s="24">
        <f>'[14]1.RSP Districts '!D150</f>
        <v>10</v>
      </c>
      <c r="E150" s="24"/>
      <c r="F150" s="102">
        <f t="shared" si="15"/>
        <v>-100</v>
      </c>
      <c r="G150" s="102">
        <f t="shared" si="16"/>
        <v>0</v>
      </c>
      <c r="H150" s="24">
        <f>'[14]1.RSP Districts '!I150</f>
        <v>143</v>
      </c>
      <c r="I150" s="24"/>
      <c r="J150" s="24">
        <v>207804.73300000001</v>
      </c>
      <c r="K150" s="24">
        <v>26171</v>
      </c>
      <c r="L150" s="24"/>
      <c r="M150" s="102">
        <f t="shared" si="17"/>
        <v>-100.00000000000001</v>
      </c>
      <c r="N150" s="102">
        <f t="shared" si="18"/>
        <v>0</v>
      </c>
      <c r="O150" s="24">
        <v>1681</v>
      </c>
      <c r="P150" s="24"/>
      <c r="Q150" s="102">
        <f t="shared" si="19"/>
        <v>-100.00000000000001</v>
      </c>
      <c r="R150" s="31" t="s">
        <v>6</v>
      </c>
      <c r="S150" s="1">
        <v>1</v>
      </c>
      <c r="T150" s="157"/>
    </row>
    <row r="151" spans="1:20" s="6" customFormat="1" ht="14.25" hidden="1" customHeight="1">
      <c r="A151" s="22">
        <v>34</v>
      </c>
      <c r="B151" s="23" t="s">
        <v>136</v>
      </c>
      <c r="C151" s="24">
        <v>94</v>
      </c>
      <c r="D151" s="24">
        <f>'[14]1.RSP Districts '!D151-2</f>
        <v>87</v>
      </c>
      <c r="E151" s="24"/>
      <c r="F151" s="102">
        <f t="shared" si="15"/>
        <v>-100</v>
      </c>
      <c r="G151" s="102">
        <f t="shared" si="16"/>
        <v>0</v>
      </c>
      <c r="H151" s="24">
        <f>'[14]1.RSP Districts '!I151</f>
        <v>788</v>
      </c>
      <c r="I151" s="24"/>
      <c r="J151" s="24">
        <v>275204</v>
      </c>
      <c r="K151" s="24">
        <v>163667</v>
      </c>
      <c r="L151" s="24"/>
      <c r="M151" s="102">
        <f t="shared" si="17"/>
        <v>-100</v>
      </c>
      <c r="N151" s="102">
        <f t="shared" si="18"/>
        <v>0</v>
      </c>
      <c r="O151" s="24">
        <v>7277</v>
      </c>
      <c r="P151" s="24"/>
      <c r="Q151" s="102">
        <f t="shared" si="19"/>
        <v>-100</v>
      </c>
      <c r="R151" s="31" t="s">
        <v>6</v>
      </c>
      <c r="S151" s="1">
        <v>1</v>
      </c>
      <c r="T151" s="157"/>
    </row>
    <row r="152" spans="1:20" s="6" customFormat="1" ht="14.25" hidden="1" customHeight="1">
      <c r="A152" s="22">
        <v>35</v>
      </c>
      <c r="B152" s="23" t="s">
        <v>137</v>
      </c>
      <c r="C152" s="24">
        <v>79</v>
      </c>
      <c r="D152" s="24">
        <f>'[14]1.RSP Districts '!D152</f>
        <v>22</v>
      </c>
      <c r="E152" s="24"/>
      <c r="F152" s="102">
        <f t="shared" si="15"/>
        <v>-100</v>
      </c>
      <c r="G152" s="102">
        <f t="shared" si="16"/>
        <v>0</v>
      </c>
      <c r="H152" s="24">
        <f>'[14]1.RSP Districts '!I152</f>
        <v>152</v>
      </c>
      <c r="I152" s="24"/>
      <c r="J152" s="24">
        <v>187555</v>
      </c>
      <c r="K152" s="24">
        <v>40378</v>
      </c>
      <c r="L152" s="24"/>
      <c r="M152" s="102">
        <f t="shared" si="17"/>
        <v>-100</v>
      </c>
      <c r="N152" s="102">
        <f t="shared" si="18"/>
        <v>0</v>
      </c>
      <c r="O152" s="24">
        <v>2628</v>
      </c>
      <c r="P152" s="24"/>
      <c r="Q152" s="102">
        <f t="shared" si="19"/>
        <v>-100</v>
      </c>
      <c r="R152" s="31" t="s">
        <v>6</v>
      </c>
      <c r="S152" s="1">
        <v>1</v>
      </c>
      <c r="T152" s="157"/>
    </row>
    <row r="153" spans="1:20" ht="14.25" hidden="1" customHeight="1">
      <c r="A153" s="22">
        <v>35</v>
      </c>
      <c r="B153" s="23" t="s">
        <v>138</v>
      </c>
      <c r="C153" s="24">
        <v>79</v>
      </c>
      <c r="D153" s="38">
        <f>'[2]1.RSP Districts '!D153</f>
        <v>61</v>
      </c>
      <c r="E153" s="38"/>
      <c r="F153" s="102">
        <f t="shared" si="15"/>
        <v>-100</v>
      </c>
      <c r="G153" s="102">
        <f t="shared" si="16"/>
        <v>0</v>
      </c>
      <c r="H153" s="38">
        <f>'[2]1.RSP Districts '!H153</f>
        <v>214</v>
      </c>
      <c r="I153" s="38"/>
      <c r="J153" s="24">
        <v>187555</v>
      </c>
      <c r="K153" s="38">
        <v>13594</v>
      </c>
      <c r="L153" s="38"/>
      <c r="M153" s="102">
        <f t="shared" si="17"/>
        <v>-100</v>
      </c>
      <c r="N153" s="102">
        <f t="shared" si="18"/>
        <v>0</v>
      </c>
      <c r="O153" s="38">
        <v>1545</v>
      </c>
      <c r="P153" s="38"/>
      <c r="Q153" s="102">
        <f t="shared" si="19"/>
        <v>-100</v>
      </c>
      <c r="R153" s="26" t="s">
        <v>5</v>
      </c>
      <c r="S153" s="1">
        <v>1</v>
      </c>
      <c r="T153" s="157"/>
    </row>
    <row r="154" spans="1:20" s="6" customFormat="1" ht="15" hidden="1" customHeight="1" thickBot="1">
      <c r="A154" s="36">
        <v>36</v>
      </c>
      <c r="B154" s="37" t="s">
        <v>139</v>
      </c>
      <c r="C154" s="38">
        <v>87</v>
      </c>
      <c r="D154" s="38">
        <f>'[2]1.RSP Districts '!D154</f>
        <v>80</v>
      </c>
      <c r="E154" s="38"/>
      <c r="F154" s="134">
        <f t="shared" si="15"/>
        <v>-100</v>
      </c>
      <c r="G154" s="134">
        <f t="shared" si="16"/>
        <v>0</v>
      </c>
      <c r="H154" s="38">
        <f>'[2]1.RSP Districts '!H154</f>
        <v>528</v>
      </c>
      <c r="I154" s="38"/>
      <c r="J154" s="39">
        <v>257583</v>
      </c>
      <c r="K154" s="38">
        <v>39089</v>
      </c>
      <c r="L154" s="38"/>
      <c r="M154" s="134">
        <f t="shared" si="17"/>
        <v>-100</v>
      </c>
      <c r="N154" s="134">
        <f t="shared" si="18"/>
        <v>0</v>
      </c>
      <c r="O154" s="38">
        <v>3149</v>
      </c>
      <c r="P154" s="38"/>
      <c r="Q154" s="134">
        <f t="shared" si="19"/>
        <v>-100</v>
      </c>
      <c r="R154" s="41" t="s">
        <v>5</v>
      </c>
      <c r="S154" s="1">
        <v>1</v>
      </c>
      <c r="T154" s="157"/>
    </row>
    <row r="155" spans="1:20" s="4" customFormat="1" ht="15.75" hidden="1" customHeight="1" thickBot="1">
      <c r="A155" s="150">
        <f>COUNTIF(R106:R154,"*")-(13+2)</f>
        <v>34</v>
      </c>
      <c r="B155" s="149" t="s">
        <v>76</v>
      </c>
      <c r="C155" s="56">
        <f>SUM(C106:C154)-(C106+C114+C129+C123+C133+C136+C140+C144+C146+C152+C149+C131+C119)</f>
        <v>2635</v>
      </c>
      <c r="D155" s="56">
        <f>SUM(D106:D154)-(D106+D114+D129+D123+D133+D136+D140+D144+D146+D152+D149+D131+D119)</f>
        <v>1771</v>
      </c>
      <c r="E155" s="56">
        <f>SUM(E106:E154)-(E106+E114+E129+E123+E133+E136+E140+E144+E146+E152+E149+E131+E119)</f>
        <v>0</v>
      </c>
      <c r="F155" s="151">
        <f t="shared" si="15"/>
        <v>-100</v>
      </c>
      <c r="G155" s="151">
        <f t="shared" si="16"/>
        <v>0</v>
      </c>
      <c r="H155" s="56">
        <f>SUM(H106:H154)</f>
        <v>14533</v>
      </c>
      <c r="I155" s="56">
        <f>SUM(I106:I154)</f>
        <v>0</v>
      </c>
      <c r="J155" s="56">
        <f>SUM(J106:J154)-(J106+J114+J129+J123+J133+J136+J140+J144+J146+J152+J149+J131+J119)</f>
        <v>6063823.2431565113</v>
      </c>
      <c r="K155" s="218">
        <f>SUM(K106:K154)</f>
        <v>2832633</v>
      </c>
      <c r="L155" s="56">
        <f>SUM(L106:L154)</f>
        <v>0</v>
      </c>
      <c r="M155" s="151">
        <f t="shared" si="17"/>
        <v>-100</v>
      </c>
      <c r="N155" s="151">
        <f t="shared" si="18"/>
        <v>0</v>
      </c>
      <c r="O155" s="218">
        <f>SUM(O106:O154)</f>
        <v>185520</v>
      </c>
      <c r="P155" s="56">
        <f>SUM(P106:P154)</f>
        <v>0</v>
      </c>
      <c r="Q155" s="151">
        <f t="shared" si="19"/>
        <v>-100</v>
      </c>
      <c r="R155" s="153"/>
      <c r="S155" s="1">
        <v>1</v>
      </c>
      <c r="T155" s="157"/>
    </row>
    <row r="156" spans="1:20" ht="26.25" hidden="1" customHeight="1" thickBot="1">
      <c r="A156" s="34"/>
      <c r="B156" s="35"/>
      <c r="C156" s="27"/>
      <c r="D156" s="27"/>
      <c r="E156" s="27"/>
      <c r="F156" s="103"/>
      <c r="G156" s="103"/>
      <c r="H156" s="103"/>
      <c r="I156" s="103"/>
      <c r="J156" s="27"/>
      <c r="K156" s="27"/>
      <c r="L156" s="27"/>
      <c r="M156" s="27"/>
      <c r="N156" s="27"/>
      <c r="O156" s="27"/>
      <c r="P156" s="27"/>
      <c r="Q156" s="27"/>
      <c r="R156" s="14"/>
      <c r="S156" s="1">
        <v>1</v>
      </c>
    </row>
    <row r="157" spans="1:20" s="5" customFormat="1" ht="14.25" hidden="1" customHeight="1">
      <c r="A157" s="17" t="s">
        <v>140</v>
      </c>
      <c r="B157" s="18"/>
      <c r="C157" s="19"/>
      <c r="D157" s="28"/>
      <c r="E157" s="28"/>
      <c r="F157" s="104"/>
      <c r="G157" s="104"/>
      <c r="H157" s="104"/>
      <c r="I157" s="104"/>
      <c r="J157" s="19"/>
      <c r="K157" s="28"/>
      <c r="L157" s="28"/>
      <c r="M157" s="28"/>
      <c r="N157" s="28"/>
      <c r="O157" s="28"/>
      <c r="P157" s="28"/>
      <c r="Q157" s="28"/>
      <c r="R157" s="21"/>
      <c r="S157" s="1">
        <v>1</v>
      </c>
    </row>
    <row r="158" spans="1:20" s="6" customFormat="1" ht="14.25" hidden="1" customHeight="1">
      <c r="A158" s="22">
        <v>1</v>
      </c>
      <c r="B158" s="23" t="s">
        <v>141</v>
      </c>
      <c r="C158" s="24">
        <v>19</v>
      </c>
      <c r="D158" s="38">
        <f>'[2]1.RSP Districts '!D158</f>
        <v>19</v>
      </c>
      <c r="E158" s="38"/>
      <c r="F158" s="102">
        <f t="shared" ref="F158:F174" si="20">(E158-D158)/D158%</f>
        <v>-100</v>
      </c>
      <c r="G158" s="102">
        <f t="shared" ref="G158:G174" si="21">E158/C158%</f>
        <v>0</v>
      </c>
      <c r="H158" s="38">
        <v>174</v>
      </c>
      <c r="I158" s="38"/>
      <c r="J158" s="29">
        <v>46469.594594594593</v>
      </c>
      <c r="K158" s="38">
        <v>24167</v>
      </c>
      <c r="L158" s="38"/>
      <c r="M158" s="102">
        <f t="shared" ref="M158:M174" si="22">(L158-K158)/K158%</f>
        <v>-100</v>
      </c>
      <c r="N158" s="102">
        <f t="shared" ref="N158:N174" si="23">L158/J158%</f>
        <v>0</v>
      </c>
      <c r="O158" s="38">
        <v>1299</v>
      </c>
      <c r="P158" s="38"/>
      <c r="Q158" s="102">
        <f t="shared" ref="Q158:Q174" si="24">(P158-O158)/O158%</f>
        <v>-100</v>
      </c>
      <c r="R158" s="31" t="s">
        <v>5</v>
      </c>
      <c r="S158" s="1">
        <v>1</v>
      </c>
    </row>
    <row r="159" spans="1:20" s="6" customFormat="1" ht="14.25" hidden="1" customHeight="1">
      <c r="A159" s="22">
        <v>1</v>
      </c>
      <c r="B159" s="23" t="s">
        <v>166</v>
      </c>
      <c r="C159" s="24">
        <v>19</v>
      </c>
      <c r="D159" s="24">
        <v>10</v>
      </c>
      <c r="E159" s="24">
        <f>D159</f>
        <v>10</v>
      </c>
      <c r="F159" s="102">
        <f t="shared" si="20"/>
        <v>0</v>
      </c>
      <c r="G159" s="102">
        <f t="shared" si="21"/>
        <v>52.631578947368418</v>
      </c>
      <c r="H159" s="24">
        <v>53</v>
      </c>
      <c r="I159" s="24">
        <f>H159</f>
        <v>53</v>
      </c>
      <c r="J159" s="24">
        <v>46469.594594594593</v>
      </c>
      <c r="K159" s="24">
        <v>672</v>
      </c>
      <c r="L159" s="24">
        <f>K159</f>
        <v>672</v>
      </c>
      <c r="M159" s="102">
        <f t="shared" si="22"/>
        <v>0</v>
      </c>
      <c r="N159" s="102">
        <f t="shared" si="23"/>
        <v>1.4461068702290076</v>
      </c>
      <c r="O159" s="24">
        <v>32</v>
      </c>
      <c r="P159" s="24">
        <f>O159</f>
        <v>32</v>
      </c>
      <c r="Q159" s="102">
        <f t="shared" si="24"/>
        <v>0</v>
      </c>
      <c r="R159" s="31" t="s">
        <v>1</v>
      </c>
      <c r="S159" s="1">
        <v>1</v>
      </c>
    </row>
    <row r="160" spans="1:20" s="6" customFormat="1" ht="14.25" hidden="1" customHeight="1">
      <c r="A160" s="22">
        <v>2</v>
      </c>
      <c r="B160" s="23" t="s">
        <v>165</v>
      </c>
      <c r="C160" s="24">
        <v>13</v>
      </c>
      <c r="D160" s="38">
        <f>'[2]1.RSP Districts '!D160</f>
        <v>5</v>
      </c>
      <c r="E160" s="38"/>
      <c r="F160" s="102">
        <f t="shared" si="20"/>
        <v>-100</v>
      </c>
      <c r="G160" s="102">
        <f t="shared" si="21"/>
        <v>0</v>
      </c>
      <c r="H160" s="38">
        <f>'[2]1.RSP Districts '!H160</f>
        <v>161</v>
      </c>
      <c r="I160" s="38"/>
      <c r="J160" s="29">
        <v>21296</v>
      </c>
      <c r="K160" s="38">
        <v>12914</v>
      </c>
      <c r="L160" s="38"/>
      <c r="M160" s="102">
        <f t="shared" si="22"/>
        <v>-100.00000000000001</v>
      </c>
      <c r="N160" s="102">
        <f t="shared" si="23"/>
        <v>0</v>
      </c>
      <c r="O160" s="38">
        <v>593</v>
      </c>
      <c r="P160" s="38"/>
      <c r="Q160" s="102">
        <f t="shared" si="24"/>
        <v>-100</v>
      </c>
      <c r="R160" s="31" t="s">
        <v>5</v>
      </c>
      <c r="S160" s="1">
        <v>1</v>
      </c>
    </row>
    <row r="161" spans="1:19" s="6" customFormat="1" ht="14.25" hidden="1" customHeight="1">
      <c r="A161" s="22">
        <v>2</v>
      </c>
      <c r="B161" s="23" t="s">
        <v>167</v>
      </c>
      <c r="C161" s="24">
        <v>13</v>
      </c>
      <c r="D161" s="24">
        <v>10</v>
      </c>
      <c r="E161" s="24">
        <f>D161</f>
        <v>10</v>
      </c>
      <c r="F161" s="102">
        <f t="shared" si="20"/>
        <v>0</v>
      </c>
      <c r="G161" s="102">
        <f t="shared" si="21"/>
        <v>76.92307692307692</v>
      </c>
      <c r="H161" s="24">
        <v>77</v>
      </c>
      <c r="I161" s="24">
        <f>H161</f>
        <v>77</v>
      </c>
      <c r="J161" s="24">
        <v>21296</v>
      </c>
      <c r="K161" s="24">
        <v>16770</v>
      </c>
      <c r="L161" s="24">
        <f>K161</f>
        <v>16770</v>
      </c>
      <c r="M161" s="102">
        <f t="shared" si="22"/>
        <v>0</v>
      </c>
      <c r="N161" s="102">
        <f t="shared" si="23"/>
        <v>78.747182569496616</v>
      </c>
      <c r="O161" s="24">
        <v>827</v>
      </c>
      <c r="P161" s="24">
        <f>O161</f>
        <v>827</v>
      </c>
      <c r="Q161" s="102">
        <f t="shared" si="24"/>
        <v>0</v>
      </c>
      <c r="R161" s="31" t="s">
        <v>1</v>
      </c>
      <c r="S161" s="1">
        <v>1</v>
      </c>
    </row>
    <row r="162" spans="1:19" s="6" customFormat="1" ht="14.25" hidden="1" customHeight="1">
      <c r="A162" s="22">
        <v>3</v>
      </c>
      <c r="B162" s="23" t="s">
        <v>142</v>
      </c>
      <c r="C162" s="24">
        <v>38</v>
      </c>
      <c r="D162" s="38">
        <f>'[2]1.RSP Districts '!D162</f>
        <v>33</v>
      </c>
      <c r="E162" s="38"/>
      <c r="F162" s="102">
        <f t="shared" si="20"/>
        <v>-100</v>
      </c>
      <c r="G162" s="102">
        <f t="shared" si="21"/>
        <v>0</v>
      </c>
      <c r="H162" s="38">
        <v>190</v>
      </c>
      <c r="I162" s="38"/>
      <c r="J162" s="29">
        <v>67482.876712328754</v>
      </c>
      <c r="K162" s="38">
        <v>39946</v>
      </c>
      <c r="L162" s="38"/>
      <c r="M162" s="102">
        <f t="shared" si="22"/>
        <v>-100</v>
      </c>
      <c r="N162" s="102">
        <f t="shared" si="23"/>
        <v>0</v>
      </c>
      <c r="O162" s="38">
        <v>2310</v>
      </c>
      <c r="P162" s="38"/>
      <c r="Q162" s="102">
        <f t="shared" si="24"/>
        <v>-100</v>
      </c>
      <c r="R162" s="31" t="s">
        <v>5</v>
      </c>
      <c r="S162" s="1">
        <v>1</v>
      </c>
    </row>
    <row r="163" spans="1:19" s="6" customFormat="1" ht="14.25" hidden="1" customHeight="1">
      <c r="A163" s="22">
        <v>3</v>
      </c>
      <c r="B163" s="23" t="s">
        <v>143</v>
      </c>
      <c r="C163" s="24">
        <v>38</v>
      </c>
      <c r="D163" s="24">
        <v>36</v>
      </c>
      <c r="E163" s="24">
        <f>D163</f>
        <v>36</v>
      </c>
      <c r="F163" s="102">
        <f t="shared" si="20"/>
        <v>0</v>
      </c>
      <c r="G163" s="102">
        <f t="shared" si="21"/>
        <v>94.73684210526315</v>
      </c>
      <c r="H163" s="24">
        <v>95</v>
      </c>
      <c r="I163" s="24">
        <f>H163</f>
        <v>95</v>
      </c>
      <c r="J163" s="24">
        <v>67482.876712328754</v>
      </c>
      <c r="K163" s="24">
        <v>13807</v>
      </c>
      <c r="L163" s="24">
        <f>K163</f>
        <v>13807</v>
      </c>
      <c r="M163" s="102">
        <f t="shared" si="22"/>
        <v>0</v>
      </c>
      <c r="N163" s="102">
        <f t="shared" si="23"/>
        <v>20.460005074854102</v>
      </c>
      <c r="O163" s="24">
        <v>566</v>
      </c>
      <c r="P163" s="24">
        <f>O163</f>
        <v>566</v>
      </c>
      <c r="Q163" s="102">
        <f t="shared" si="24"/>
        <v>0</v>
      </c>
      <c r="R163" s="31" t="s">
        <v>1</v>
      </c>
      <c r="S163" s="1">
        <v>1</v>
      </c>
    </row>
    <row r="164" spans="1:19" s="6" customFormat="1" ht="14.25" hidden="1" customHeight="1">
      <c r="A164" s="22">
        <v>4</v>
      </c>
      <c r="B164" s="23" t="s">
        <v>282</v>
      </c>
      <c r="C164" s="24">
        <v>32</v>
      </c>
      <c r="D164" s="38">
        <f>'[2]1.RSP Districts '!D164</f>
        <v>18</v>
      </c>
      <c r="E164" s="38"/>
      <c r="F164" s="102">
        <f t="shared" si="20"/>
        <v>-100</v>
      </c>
      <c r="G164" s="102">
        <f t="shared" si="21"/>
        <v>0</v>
      </c>
      <c r="H164" s="38">
        <f>'[2]1.RSP Districts '!H164</f>
        <v>415</v>
      </c>
      <c r="I164" s="38"/>
      <c r="J164" s="24">
        <v>60712</v>
      </c>
      <c r="K164" s="38">
        <v>21451</v>
      </c>
      <c r="L164" s="38"/>
      <c r="M164" s="102">
        <f t="shared" si="22"/>
        <v>-100</v>
      </c>
      <c r="N164" s="102">
        <f t="shared" si="23"/>
        <v>0</v>
      </c>
      <c r="O164" s="38">
        <v>992</v>
      </c>
      <c r="P164" s="38"/>
      <c r="Q164" s="102">
        <f t="shared" si="24"/>
        <v>-100</v>
      </c>
      <c r="R164" s="31" t="s">
        <v>5</v>
      </c>
      <c r="S164" s="1">
        <v>1</v>
      </c>
    </row>
    <row r="165" spans="1:19" s="6" customFormat="1" ht="14.25" hidden="1" customHeight="1">
      <c r="A165" s="22">
        <v>4</v>
      </c>
      <c r="B165" s="23" t="s">
        <v>283</v>
      </c>
      <c r="C165" s="24">
        <v>32</v>
      </c>
      <c r="D165" s="24">
        <v>26</v>
      </c>
      <c r="E165" s="24">
        <f>D165</f>
        <v>26</v>
      </c>
      <c r="F165" s="102">
        <f t="shared" si="20"/>
        <v>0</v>
      </c>
      <c r="G165" s="102">
        <f t="shared" si="21"/>
        <v>81.25</v>
      </c>
      <c r="H165" s="24">
        <v>81</v>
      </c>
      <c r="I165" s="24">
        <f>H165</f>
        <v>81</v>
      </c>
      <c r="J165" s="24">
        <v>60712</v>
      </c>
      <c r="K165" s="24">
        <v>45689</v>
      </c>
      <c r="L165" s="24">
        <f>K165</f>
        <v>45689</v>
      </c>
      <c r="M165" s="102">
        <f t="shared" si="22"/>
        <v>0</v>
      </c>
      <c r="N165" s="102">
        <f t="shared" si="23"/>
        <v>75.255303729081561</v>
      </c>
      <c r="O165" s="24">
        <v>2192</v>
      </c>
      <c r="P165" s="24">
        <f>O165</f>
        <v>2192</v>
      </c>
      <c r="Q165" s="102">
        <f t="shared" si="24"/>
        <v>0</v>
      </c>
      <c r="R165" s="31" t="s">
        <v>1</v>
      </c>
      <c r="S165" s="1">
        <v>1</v>
      </c>
    </row>
    <row r="166" spans="1:19" s="6" customFormat="1" ht="14.25" hidden="1" customHeight="1">
      <c r="A166" s="22">
        <v>5</v>
      </c>
      <c r="B166" s="23" t="s">
        <v>144</v>
      </c>
      <c r="C166" s="24">
        <v>9</v>
      </c>
      <c r="D166" s="38">
        <f>'[2]1.RSP Districts '!D166</f>
        <v>9</v>
      </c>
      <c r="E166" s="38"/>
      <c r="F166" s="102">
        <f t="shared" si="20"/>
        <v>-100</v>
      </c>
      <c r="G166" s="102">
        <f t="shared" si="21"/>
        <v>0</v>
      </c>
      <c r="H166" s="38">
        <f>'[2]1.RSP Districts '!H166</f>
        <v>85</v>
      </c>
      <c r="I166" s="38"/>
      <c r="J166" s="24">
        <v>15648.786335031467</v>
      </c>
      <c r="K166" s="38">
        <v>7213</v>
      </c>
      <c r="L166" s="38"/>
      <c r="M166" s="102">
        <f t="shared" si="22"/>
        <v>-100</v>
      </c>
      <c r="N166" s="102">
        <f t="shared" si="23"/>
        <v>0</v>
      </c>
      <c r="O166" s="38">
        <v>331</v>
      </c>
      <c r="P166" s="38"/>
      <c r="Q166" s="102">
        <f t="shared" si="24"/>
        <v>-100</v>
      </c>
      <c r="R166" s="31" t="s">
        <v>5</v>
      </c>
      <c r="S166" s="1">
        <v>1</v>
      </c>
    </row>
    <row r="167" spans="1:19" s="6" customFormat="1" ht="14.25" hidden="1" customHeight="1">
      <c r="A167" s="22">
        <v>5</v>
      </c>
      <c r="B167" s="23" t="s">
        <v>145</v>
      </c>
      <c r="C167" s="24">
        <v>9</v>
      </c>
      <c r="D167" s="24">
        <v>9</v>
      </c>
      <c r="E167" s="24">
        <f>D167</f>
        <v>9</v>
      </c>
      <c r="F167" s="102">
        <f t="shared" si="20"/>
        <v>0</v>
      </c>
      <c r="G167" s="102">
        <f t="shared" si="21"/>
        <v>100</v>
      </c>
      <c r="H167" s="24">
        <v>100</v>
      </c>
      <c r="I167" s="24">
        <f>H167</f>
        <v>100</v>
      </c>
      <c r="J167" s="24">
        <v>15648.786335031467</v>
      </c>
      <c r="K167" s="24">
        <v>6722</v>
      </c>
      <c r="L167" s="24">
        <f>K167</f>
        <v>6722</v>
      </c>
      <c r="M167" s="102">
        <f t="shared" si="22"/>
        <v>0</v>
      </c>
      <c r="N167" s="102">
        <f t="shared" si="23"/>
        <v>42.955407889697426</v>
      </c>
      <c r="O167" s="24">
        <v>267</v>
      </c>
      <c r="P167" s="24">
        <f>O167</f>
        <v>267</v>
      </c>
      <c r="Q167" s="102">
        <f t="shared" si="24"/>
        <v>0</v>
      </c>
      <c r="R167" s="31" t="s">
        <v>1</v>
      </c>
      <c r="S167" s="1">
        <v>1</v>
      </c>
    </row>
    <row r="168" spans="1:19" s="6" customFormat="1" ht="14.25" hidden="1" customHeight="1">
      <c r="A168" s="22">
        <v>6</v>
      </c>
      <c r="B168" s="23" t="s">
        <v>146</v>
      </c>
      <c r="C168" s="24">
        <v>25</v>
      </c>
      <c r="D168" s="38">
        <v>26</v>
      </c>
      <c r="E168" s="38"/>
      <c r="F168" s="102">
        <f t="shared" si="20"/>
        <v>-100</v>
      </c>
      <c r="G168" s="102">
        <f t="shared" si="21"/>
        <v>0</v>
      </c>
      <c r="H168" s="38">
        <v>125</v>
      </c>
      <c r="I168" s="38"/>
      <c r="J168" s="29">
        <v>47319.07894736842</v>
      </c>
      <c r="K168" s="38">
        <v>40962</v>
      </c>
      <c r="L168" s="38"/>
      <c r="M168" s="102">
        <f t="shared" si="22"/>
        <v>-100</v>
      </c>
      <c r="N168" s="102">
        <f t="shared" si="23"/>
        <v>0</v>
      </c>
      <c r="O168" s="38">
        <v>2117</v>
      </c>
      <c r="P168" s="38"/>
      <c r="Q168" s="102">
        <f t="shared" si="24"/>
        <v>-99.999999999999986</v>
      </c>
      <c r="R168" s="31" t="s">
        <v>5</v>
      </c>
      <c r="S168" s="1">
        <v>1</v>
      </c>
    </row>
    <row r="169" spans="1:19" s="130" customFormat="1" ht="14.25" hidden="1" customHeight="1">
      <c r="A169" s="22">
        <v>6</v>
      </c>
      <c r="B169" s="23" t="s">
        <v>284</v>
      </c>
      <c r="C169" s="24">
        <v>25</v>
      </c>
      <c r="D169" s="24">
        <v>12</v>
      </c>
      <c r="E169" s="24">
        <f>D169</f>
        <v>12</v>
      </c>
      <c r="F169" s="102">
        <f t="shared" si="20"/>
        <v>0</v>
      </c>
      <c r="G169" s="102">
        <f t="shared" si="21"/>
        <v>48</v>
      </c>
      <c r="H169" s="24">
        <v>48</v>
      </c>
      <c r="I169" s="24">
        <f t="shared" ref="I169:I170" si="25">H169</f>
        <v>48</v>
      </c>
      <c r="J169" s="29">
        <v>47319.07894736842</v>
      </c>
      <c r="K169" s="24">
        <v>4523</v>
      </c>
      <c r="L169" s="24">
        <f>K169</f>
        <v>4523</v>
      </c>
      <c r="M169" s="102">
        <f t="shared" si="22"/>
        <v>0</v>
      </c>
      <c r="N169" s="102">
        <f t="shared" si="23"/>
        <v>9.5585123392422666</v>
      </c>
      <c r="O169" s="24">
        <v>260</v>
      </c>
      <c r="P169" s="24">
        <f>O169</f>
        <v>260</v>
      </c>
      <c r="Q169" s="102">
        <f t="shared" si="24"/>
        <v>0</v>
      </c>
      <c r="R169" s="31" t="s">
        <v>1</v>
      </c>
      <c r="S169" s="1">
        <v>1</v>
      </c>
    </row>
    <row r="170" spans="1:19" s="6" customFormat="1" ht="14.25" hidden="1" customHeight="1">
      <c r="A170" s="22">
        <v>7</v>
      </c>
      <c r="B170" s="23" t="s">
        <v>147</v>
      </c>
      <c r="C170" s="24">
        <v>18</v>
      </c>
      <c r="D170" s="24">
        <v>18</v>
      </c>
      <c r="E170" s="24">
        <f>D170</f>
        <v>18</v>
      </c>
      <c r="F170" s="102">
        <f t="shared" si="20"/>
        <v>0</v>
      </c>
      <c r="G170" s="102">
        <f t="shared" si="21"/>
        <v>100</v>
      </c>
      <c r="H170" s="24">
        <v>100</v>
      </c>
      <c r="I170" s="24">
        <f t="shared" si="25"/>
        <v>100</v>
      </c>
      <c r="J170" s="24">
        <v>54333</v>
      </c>
      <c r="K170" s="24">
        <v>5541</v>
      </c>
      <c r="L170" s="24">
        <f>K170</f>
        <v>5541</v>
      </c>
      <c r="M170" s="102">
        <f t="shared" si="22"/>
        <v>0</v>
      </c>
      <c r="N170" s="102">
        <f t="shared" si="23"/>
        <v>10.198222074982054</v>
      </c>
      <c r="O170" s="24">
        <v>227</v>
      </c>
      <c r="P170" s="24">
        <f>O170</f>
        <v>227</v>
      </c>
      <c r="Q170" s="102">
        <f t="shared" si="24"/>
        <v>0</v>
      </c>
      <c r="R170" s="31" t="s">
        <v>1</v>
      </c>
      <c r="S170" s="1">
        <v>1</v>
      </c>
    </row>
    <row r="171" spans="1:19" s="6" customFormat="1" ht="14.25" hidden="1" customHeight="1">
      <c r="A171" s="22">
        <v>8</v>
      </c>
      <c r="B171" s="23" t="s">
        <v>148</v>
      </c>
      <c r="C171" s="24">
        <v>12</v>
      </c>
      <c r="D171" s="38">
        <f>'[2]1.RSP Districts '!D171</f>
        <v>13</v>
      </c>
      <c r="E171" s="38"/>
      <c r="F171" s="102">
        <f t="shared" si="20"/>
        <v>-100</v>
      </c>
      <c r="G171" s="102">
        <f t="shared" si="21"/>
        <v>0</v>
      </c>
      <c r="H171" s="38">
        <f>'[2]1.RSP Districts '!H171</f>
        <v>25</v>
      </c>
      <c r="I171" s="38"/>
      <c r="J171" s="29">
        <v>26849.31506849315</v>
      </c>
      <c r="K171" s="38">
        <v>13915</v>
      </c>
      <c r="L171" s="38"/>
      <c r="M171" s="102">
        <f t="shared" si="22"/>
        <v>-100</v>
      </c>
      <c r="N171" s="102">
        <f t="shared" si="23"/>
        <v>0</v>
      </c>
      <c r="O171" s="38">
        <v>752</v>
      </c>
      <c r="P171" s="38"/>
      <c r="Q171" s="102">
        <f t="shared" si="24"/>
        <v>-100</v>
      </c>
      <c r="R171" s="31" t="s">
        <v>5</v>
      </c>
      <c r="S171" s="1">
        <v>1</v>
      </c>
    </row>
    <row r="172" spans="1:19" s="6" customFormat="1" ht="14.25" hidden="1" customHeight="1">
      <c r="A172" s="22">
        <v>9</v>
      </c>
      <c r="B172" s="23" t="s">
        <v>149</v>
      </c>
      <c r="C172" s="24">
        <v>22</v>
      </c>
      <c r="D172" s="24">
        <v>15</v>
      </c>
      <c r="E172" s="24">
        <f>D172</f>
        <v>15</v>
      </c>
      <c r="F172" s="102">
        <f t="shared" si="20"/>
        <v>0</v>
      </c>
      <c r="G172" s="102">
        <f t="shared" si="21"/>
        <v>68.181818181818187</v>
      </c>
      <c r="H172" s="24">
        <v>68</v>
      </c>
      <c r="I172" s="24">
        <f>H172</f>
        <v>68</v>
      </c>
      <c r="J172" s="24">
        <v>40208</v>
      </c>
      <c r="K172" s="24">
        <v>8596</v>
      </c>
      <c r="L172" s="24">
        <f>K172</f>
        <v>8596</v>
      </c>
      <c r="M172" s="102">
        <f t="shared" si="22"/>
        <v>0</v>
      </c>
      <c r="N172" s="102">
        <f t="shared" si="23"/>
        <v>21.378830083565461</v>
      </c>
      <c r="O172" s="24">
        <v>379</v>
      </c>
      <c r="P172" s="24">
        <f>O172</f>
        <v>379</v>
      </c>
      <c r="Q172" s="102">
        <f t="shared" si="24"/>
        <v>0</v>
      </c>
      <c r="R172" s="31" t="s">
        <v>1</v>
      </c>
      <c r="S172" s="1">
        <v>1</v>
      </c>
    </row>
    <row r="173" spans="1:19" s="6" customFormat="1" ht="15" hidden="1" customHeight="1" thickBot="1">
      <c r="A173" s="36">
        <v>10</v>
      </c>
      <c r="B173" s="37" t="s">
        <v>164</v>
      </c>
      <c r="C173" s="38">
        <v>8</v>
      </c>
      <c r="D173" s="38">
        <f>'[2]1.RSP Districts '!D173</f>
        <v>8</v>
      </c>
      <c r="E173" s="38"/>
      <c r="F173" s="134">
        <f t="shared" si="20"/>
        <v>-100</v>
      </c>
      <c r="G173" s="134">
        <f t="shared" si="21"/>
        <v>0</v>
      </c>
      <c r="H173" s="38">
        <f>'[2]1.RSP Districts '!H173</f>
        <v>88</v>
      </c>
      <c r="I173" s="38"/>
      <c r="J173" s="39">
        <v>18651</v>
      </c>
      <c r="K173" s="38">
        <v>11333</v>
      </c>
      <c r="L173" s="38"/>
      <c r="M173" s="134">
        <f t="shared" si="22"/>
        <v>-100</v>
      </c>
      <c r="N173" s="134">
        <f t="shared" si="23"/>
        <v>0</v>
      </c>
      <c r="O173" s="38">
        <v>679</v>
      </c>
      <c r="P173" s="38"/>
      <c r="Q173" s="134">
        <f t="shared" si="24"/>
        <v>-100</v>
      </c>
      <c r="R173" s="41" t="s">
        <v>5</v>
      </c>
      <c r="S173" s="1">
        <v>1</v>
      </c>
    </row>
    <row r="174" spans="1:19" s="4" customFormat="1" ht="15.75" hidden="1" customHeight="1" thickBot="1">
      <c r="A174" s="150">
        <f>COUNTIF(R158:R173,"*")-6</f>
        <v>10</v>
      </c>
      <c r="B174" s="149" t="s">
        <v>33</v>
      </c>
      <c r="C174" s="56">
        <f>(C158+C160+C162+C164+C166+C168+C170+C171+C172+C173)</f>
        <v>196</v>
      </c>
      <c r="D174" s="218">
        <f>(D158+D161+D163+D165+D167+D168+D170+D171+D172+D173)</f>
        <v>180</v>
      </c>
      <c r="E174" s="56">
        <f>(E158+E161+E163+E165+E167+E168+E170+E171+E172+E173)</f>
        <v>114</v>
      </c>
      <c r="F174" s="151">
        <f t="shared" si="20"/>
        <v>-36.666666666666664</v>
      </c>
      <c r="G174" s="151">
        <f t="shared" si="21"/>
        <v>58.163265306122447</v>
      </c>
      <c r="H174" s="151">
        <f>SUM(H158:H173)</f>
        <v>1885</v>
      </c>
      <c r="I174" s="151">
        <f>SUM(I158:I173)</f>
        <v>622</v>
      </c>
      <c r="J174" s="56">
        <f>(J158+J160+J162+J164+J166+J168+J170+J171+J172+J173)</f>
        <v>398969.65165781637</v>
      </c>
      <c r="K174" s="218">
        <f>SUM(K158:K173)</f>
        <v>274221</v>
      </c>
      <c r="L174" s="56">
        <f>SUM(L158:L173)</f>
        <v>102320</v>
      </c>
      <c r="M174" s="151">
        <f t="shared" si="22"/>
        <v>-62.687029804427816</v>
      </c>
      <c r="N174" s="151">
        <f t="shared" si="23"/>
        <v>25.646060940935079</v>
      </c>
      <c r="O174" s="218">
        <f>SUM(O158:O173)</f>
        <v>13823</v>
      </c>
      <c r="P174" s="56">
        <f>SUM(P158:P173)</f>
        <v>4750</v>
      </c>
      <c r="Q174" s="151">
        <f t="shared" si="24"/>
        <v>-65.636981841857775</v>
      </c>
      <c r="R174" s="153"/>
      <c r="S174" s="1">
        <v>1</v>
      </c>
    </row>
    <row r="175" spans="1:19" ht="13.5" hidden="1" customHeight="1" thickBot="1">
      <c r="A175" s="34"/>
      <c r="B175" s="35"/>
      <c r="C175" s="27"/>
      <c r="D175" s="27"/>
      <c r="E175" s="27"/>
      <c r="F175" s="103"/>
      <c r="G175" s="103"/>
      <c r="H175" s="103"/>
      <c r="I175" s="103"/>
      <c r="J175" s="27"/>
      <c r="K175" s="27"/>
      <c r="L175" s="27"/>
      <c r="M175" s="27"/>
      <c r="N175" s="27"/>
      <c r="O175" s="27"/>
      <c r="P175" s="27"/>
      <c r="Q175" s="27"/>
      <c r="R175" s="14"/>
      <c r="S175" s="1">
        <v>1</v>
      </c>
    </row>
    <row r="176" spans="1:19" s="5" customFormat="1" ht="14.25" hidden="1" customHeight="1">
      <c r="A176" s="17" t="s">
        <v>150</v>
      </c>
      <c r="B176" s="18"/>
      <c r="C176" s="19"/>
      <c r="D176" s="28"/>
      <c r="E176" s="28"/>
      <c r="F176" s="104"/>
      <c r="G176" s="104"/>
      <c r="H176" s="104"/>
      <c r="I176" s="104"/>
      <c r="J176" s="19"/>
      <c r="K176" s="28"/>
      <c r="L176" s="28"/>
      <c r="M176" s="28"/>
      <c r="N176" s="28"/>
      <c r="O176" s="28"/>
      <c r="P176" s="28"/>
      <c r="Q176" s="28"/>
      <c r="R176" s="21"/>
      <c r="S176" s="1">
        <v>1</v>
      </c>
    </row>
    <row r="177" spans="1:19" s="6" customFormat="1" ht="14.25" hidden="1" customHeight="1">
      <c r="A177" s="22">
        <v>1</v>
      </c>
      <c r="B177" s="23" t="s">
        <v>151</v>
      </c>
      <c r="C177" s="24">
        <v>8</v>
      </c>
      <c r="D177" s="24">
        <v>8</v>
      </c>
      <c r="E177" s="24">
        <f>'[15]1.RSP Districts '!E174</f>
        <v>8</v>
      </c>
      <c r="F177" s="102">
        <f t="shared" ref="F177:F184" si="26">(E177-D177)/D177%</f>
        <v>0</v>
      </c>
      <c r="G177" s="102">
        <f t="shared" ref="G177:G184" si="27">E177/C177%</f>
        <v>100</v>
      </c>
      <c r="H177" s="135">
        <v>44</v>
      </c>
      <c r="I177" s="24">
        <f>'[15]1.RSP Districts '!I174</f>
        <v>44</v>
      </c>
      <c r="J177" s="29">
        <v>10999.903096902348</v>
      </c>
      <c r="K177" s="24">
        <v>6444</v>
      </c>
      <c r="L177" s="24">
        <f>'[15]1.RSP Districts '!L174</f>
        <v>6444</v>
      </c>
      <c r="M177" s="102">
        <f t="shared" ref="M177:M184" si="28">(L177-K177)/K177%</f>
        <v>0</v>
      </c>
      <c r="N177" s="102">
        <f t="shared" ref="N177:N184" si="29">L177/J177%</f>
        <v>58.582334255423369</v>
      </c>
      <c r="O177" s="24">
        <v>333</v>
      </c>
      <c r="P177" s="24">
        <f>'[15]1.RSP Districts '!P174</f>
        <v>333</v>
      </c>
      <c r="Q177" s="102">
        <f t="shared" ref="Q177:Q184" si="30">(P177-O177)/O177%</f>
        <v>0</v>
      </c>
      <c r="R177" s="31" t="s">
        <v>2</v>
      </c>
      <c r="S177" s="1">
        <v>1</v>
      </c>
    </row>
    <row r="178" spans="1:19" s="6" customFormat="1" ht="14.25" hidden="1" customHeight="1">
      <c r="A178" s="22">
        <v>2</v>
      </c>
      <c r="B178" s="23" t="s">
        <v>193</v>
      </c>
      <c r="C178" s="24">
        <v>9</v>
      </c>
      <c r="D178" s="24"/>
      <c r="E178" s="24"/>
      <c r="F178" s="102">
        <v>0</v>
      </c>
      <c r="G178" s="102">
        <f t="shared" si="27"/>
        <v>0</v>
      </c>
      <c r="H178" s="135"/>
      <c r="I178" s="135"/>
      <c r="J178" s="29">
        <v>0</v>
      </c>
      <c r="K178" s="24">
        <v>0</v>
      </c>
      <c r="L178" s="24"/>
      <c r="M178" s="102">
        <v>0</v>
      </c>
      <c r="N178" s="102">
        <v>0</v>
      </c>
      <c r="O178" s="24"/>
      <c r="P178" s="24"/>
      <c r="Q178" s="102">
        <v>0</v>
      </c>
      <c r="R178" s="79">
        <v>0</v>
      </c>
      <c r="S178" s="1">
        <v>1</v>
      </c>
    </row>
    <row r="179" spans="1:19" s="6" customFormat="1" ht="14.25" hidden="1" customHeight="1">
      <c r="A179" s="22">
        <v>3</v>
      </c>
      <c r="B179" s="23" t="s">
        <v>152</v>
      </c>
      <c r="C179" s="24">
        <v>14</v>
      </c>
      <c r="D179" s="24">
        <v>14</v>
      </c>
      <c r="E179" s="24">
        <f>'[15]1.RSP Districts '!E176</f>
        <v>14</v>
      </c>
      <c r="F179" s="102">
        <f t="shared" si="26"/>
        <v>0</v>
      </c>
      <c r="G179" s="102">
        <f t="shared" si="27"/>
        <v>99.999999999999986</v>
      </c>
      <c r="H179" s="135">
        <v>56</v>
      </c>
      <c r="I179" s="24">
        <f>'[15]1.RSP Districts '!I176</f>
        <v>56</v>
      </c>
      <c r="J179" s="29">
        <v>18452.493081471035</v>
      </c>
      <c r="K179" s="24">
        <v>10401</v>
      </c>
      <c r="L179" s="24">
        <f>'[15]1.RSP Districts '!L176</f>
        <v>10401</v>
      </c>
      <c r="M179" s="102">
        <f t="shared" si="28"/>
        <v>0</v>
      </c>
      <c r="N179" s="102">
        <f t="shared" si="29"/>
        <v>56.366367157422779</v>
      </c>
      <c r="O179" s="24">
        <v>469</v>
      </c>
      <c r="P179" s="24">
        <f>'[15]1.RSP Districts '!P176</f>
        <v>469</v>
      </c>
      <c r="Q179" s="102">
        <f t="shared" si="30"/>
        <v>0</v>
      </c>
      <c r="R179" s="31" t="s">
        <v>2</v>
      </c>
      <c r="S179" s="1">
        <v>1</v>
      </c>
    </row>
    <row r="180" spans="1:19" s="6" customFormat="1" ht="14.25" hidden="1" customHeight="1">
      <c r="A180" s="22">
        <v>4</v>
      </c>
      <c r="B180" s="23" t="s">
        <v>153</v>
      </c>
      <c r="C180" s="24">
        <v>16</v>
      </c>
      <c r="D180" s="24">
        <v>16</v>
      </c>
      <c r="E180" s="24">
        <f>'[15]1.RSP Districts '!E177</f>
        <v>16</v>
      </c>
      <c r="F180" s="102">
        <f t="shared" si="26"/>
        <v>0</v>
      </c>
      <c r="G180" s="102">
        <f t="shared" si="27"/>
        <v>100</v>
      </c>
      <c r="H180" s="135">
        <v>80</v>
      </c>
      <c r="I180" s="24">
        <f>'[15]1.RSP Districts '!I177</f>
        <v>80</v>
      </c>
      <c r="J180" s="29">
        <v>13563.115170309828</v>
      </c>
      <c r="K180" s="24">
        <v>12420</v>
      </c>
      <c r="L180" s="24">
        <f>'[15]1.RSP Districts '!L177</f>
        <v>12420</v>
      </c>
      <c r="M180" s="102">
        <f t="shared" si="28"/>
        <v>0</v>
      </c>
      <c r="N180" s="102">
        <f t="shared" si="29"/>
        <v>91.571883332435675</v>
      </c>
      <c r="O180" s="24">
        <v>548</v>
      </c>
      <c r="P180" s="24">
        <f>'[15]1.RSP Districts '!P177</f>
        <v>548</v>
      </c>
      <c r="Q180" s="102">
        <f t="shared" si="30"/>
        <v>0</v>
      </c>
      <c r="R180" s="31" t="s">
        <v>2</v>
      </c>
      <c r="S180" s="1">
        <v>1</v>
      </c>
    </row>
    <row r="181" spans="1:19" s="6" customFormat="1" ht="14.25" hidden="1" customHeight="1">
      <c r="A181" s="22">
        <v>5</v>
      </c>
      <c r="B181" s="23" t="s">
        <v>154</v>
      </c>
      <c r="C181" s="24">
        <v>10</v>
      </c>
      <c r="D181" s="24">
        <v>10</v>
      </c>
      <c r="E181" s="24">
        <f>'[15]1.RSP Districts '!E178</f>
        <v>10</v>
      </c>
      <c r="F181" s="102">
        <f t="shared" si="26"/>
        <v>0</v>
      </c>
      <c r="G181" s="102">
        <f t="shared" si="27"/>
        <v>100</v>
      </c>
      <c r="H181" s="135">
        <v>56</v>
      </c>
      <c r="I181" s="24">
        <f>'[15]1.RSP Districts '!I178</f>
        <v>56</v>
      </c>
      <c r="J181" s="29">
        <v>17721</v>
      </c>
      <c r="K181" s="24">
        <v>10924</v>
      </c>
      <c r="L181" s="24">
        <f>'[15]1.RSP Districts '!L178</f>
        <v>10924</v>
      </c>
      <c r="M181" s="102">
        <f t="shared" si="28"/>
        <v>0</v>
      </c>
      <c r="N181" s="102">
        <f t="shared" si="29"/>
        <v>61.644376728175608</v>
      </c>
      <c r="O181" s="24">
        <v>434</v>
      </c>
      <c r="P181" s="24">
        <f>'[15]1.RSP Districts '!P178</f>
        <v>434</v>
      </c>
      <c r="Q181" s="102">
        <f t="shared" si="30"/>
        <v>0</v>
      </c>
      <c r="R181" s="31" t="s">
        <v>2</v>
      </c>
      <c r="S181" s="1">
        <v>1</v>
      </c>
    </row>
    <row r="182" spans="1:19" s="6" customFormat="1" ht="14.25" hidden="1" customHeight="1">
      <c r="A182" s="22">
        <v>6</v>
      </c>
      <c r="B182" s="23" t="s">
        <v>155</v>
      </c>
      <c r="C182" s="24">
        <v>15</v>
      </c>
      <c r="D182" s="24">
        <v>15</v>
      </c>
      <c r="E182" s="24">
        <f>'[15]1.RSP Districts '!E179</f>
        <v>15</v>
      </c>
      <c r="F182" s="102">
        <f t="shared" si="26"/>
        <v>0</v>
      </c>
      <c r="G182" s="102">
        <f t="shared" si="27"/>
        <v>100</v>
      </c>
      <c r="H182" s="135">
        <v>83</v>
      </c>
      <c r="I182" s="24">
        <f>'[15]1.RSP Districts '!I179</f>
        <v>83</v>
      </c>
      <c r="J182" s="29">
        <v>12779</v>
      </c>
      <c r="K182" s="24">
        <v>11965</v>
      </c>
      <c r="L182" s="24">
        <f>'[15]1.RSP Districts '!L179</f>
        <v>11965</v>
      </c>
      <c r="M182" s="102">
        <f t="shared" si="28"/>
        <v>0</v>
      </c>
      <c r="N182" s="102">
        <f t="shared" si="29"/>
        <v>93.630174505047336</v>
      </c>
      <c r="O182" s="24">
        <v>507</v>
      </c>
      <c r="P182" s="24">
        <f>'[15]1.RSP Districts '!P179</f>
        <v>507</v>
      </c>
      <c r="Q182" s="102">
        <f t="shared" si="30"/>
        <v>0</v>
      </c>
      <c r="R182" s="31" t="s">
        <v>2</v>
      </c>
      <c r="S182" s="1">
        <v>1</v>
      </c>
    </row>
    <row r="183" spans="1:19" s="6" customFormat="1" ht="15" hidden="1" customHeight="1" thickBot="1">
      <c r="A183" s="36">
        <v>7</v>
      </c>
      <c r="B183" s="37" t="s">
        <v>156</v>
      </c>
      <c r="C183" s="38">
        <v>31</v>
      </c>
      <c r="D183" s="38">
        <v>31</v>
      </c>
      <c r="E183" s="24">
        <f>'[15]1.RSP Districts '!E180</f>
        <v>31</v>
      </c>
      <c r="F183" s="134">
        <f t="shared" si="26"/>
        <v>0</v>
      </c>
      <c r="G183" s="134">
        <f t="shared" si="27"/>
        <v>100</v>
      </c>
      <c r="H183" s="148">
        <v>167</v>
      </c>
      <c r="I183" s="24">
        <f>'[15]1.RSP Districts '!I180</f>
        <v>167</v>
      </c>
      <c r="J183" s="39">
        <v>35134.322614801174</v>
      </c>
      <c r="K183" s="38">
        <v>23627</v>
      </c>
      <c r="L183" s="24">
        <f>'[15]1.RSP Districts '!L180</f>
        <v>23627</v>
      </c>
      <c r="M183" s="134">
        <f t="shared" si="28"/>
        <v>0</v>
      </c>
      <c r="N183" s="134">
        <f t="shared" si="29"/>
        <v>67.247632063487004</v>
      </c>
      <c r="O183" s="38">
        <v>1093</v>
      </c>
      <c r="P183" s="24">
        <f>'[15]1.RSP Districts '!P180</f>
        <v>1093</v>
      </c>
      <c r="Q183" s="134">
        <f t="shared" si="30"/>
        <v>0</v>
      </c>
      <c r="R183" s="41" t="s">
        <v>2</v>
      </c>
      <c r="S183" s="1">
        <v>1</v>
      </c>
    </row>
    <row r="184" spans="1:19" s="4" customFormat="1" ht="15.75" hidden="1" customHeight="1" thickBot="1">
      <c r="A184" s="150">
        <f>COUNTIF(R177:R183,"*")</f>
        <v>6</v>
      </c>
      <c r="B184" s="149" t="s">
        <v>33</v>
      </c>
      <c r="C184" s="56">
        <f>SUM(C177:C183)</f>
        <v>103</v>
      </c>
      <c r="D184" s="56">
        <f>SUM(D177:D183)</f>
        <v>94</v>
      </c>
      <c r="E184" s="56">
        <f>SUM(E177:E183)</f>
        <v>94</v>
      </c>
      <c r="F184" s="151">
        <f t="shared" si="26"/>
        <v>0</v>
      </c>
      <c r="G184" s="151">
        <f t="shared" si="27"/>
        <v>91.262135922330089</v>
      </c>
      <c r="H184" s="151">
        <f>SUM(H177:H183)</f>
        <v>486</v>
      </c>
      <c r="I184" s="151">
        <f>SUM(I177:I183)</f>
        <v>486</v>
      </c>
      <c r="J184" s="56">
        <f>SUM(J177:J183)</f>
        <v>108649.83396348439</v>
      </c>
      <c r="K184" s="56">
        <f>SUM(K177:K183)</f>
        <v>75781</v>
      </c>
      <c r="L184" s="56">
        <f>SUM(L177:L183)</f>
        <v>75781</v>
      </c>
      <c r="M184" s="151">
        <f t="shared" si="28"/>
        <v>0</v>
      </c>
      <c r="N184" s="151">
        <f t="shared" si="29"/>
        <v>69.747920669136846</v>
      </c>
      <c r="O184" s="56">
        <f>SUM(O177:O183)</f>
        <v>3384</v>
      </c>
      <c r="P184" s="56">
        <f>SUM(P177:P183)</f>
        <v>3384</v>
      </c>
      <c r="Q184" s="151">
        <f t="shared" si="30"/>
        <v>0</v>
      </c>
      <c r="R184" s="153"/>
      <c r="S184" s="1">
        <v>1</v>
      </c>
    </row>
    <row r="185" spans="1:19" s="4" customFormat="1" ht="10.5" hidden="1" customHeight="1" thickBot="1">
      <c r="A185" s="42"/>
      <c r="B185" s="43"/>
      <c r="C185" s="44"/>
      <c r="D185" s="27"/>
      <c r="E185" s="27"/>
      <c r="F185" s="147"/>
      <c r="G185" s="105"/>
      <c r="H185" s="105"/>
      <c r="I185" s="105"/>
      <c r="J185" s="44"/>
      <c r="K185" s="45"/>
      <c r="L185" s="45"/>
      <c r="M185" s="45"/>
      <c r="N185" s="45"/>
      <c r="O185" s="45"/>
      <c r="P185" s="45"/>
      <c r="Q185" s="45"/>
      <c r="R185" s="46"/>
      <c r="S185" s="1">
        <v>1</v>
      </c>
    </row>
    <row r="186" spans="1:19" s="5" customFormat="1" ht="14.25" hidden="1">
      <c r="A186" s="17" t="s">
        <v>208</v>
      </c>
      <c r="B186" s="18"/>
      <c r="C186" s="19"/>
      <c r="D186" s="28"/>
      <c r="E186" s="28"/>
      <c r="F186" s="104"/>
      <c r="G186" s="104"/>
      <c r="H186" s="104"/>
      <c r="I186" s="104"/>
      <c r="J186" s="19"/>
      <c r="K186" s="28"/>
      <c r="L186" s="28"/>
      <c r="M186" s="28"/>
      <c r="N186" s="28"/>
      <c r="O186" s="28"/>
      <c r="P186" s="28"/>
      <c r="Q186" s="28"/>
      <c r="R186" s="21"/>
      <c r="S186" s="1">
        <v>1</v>
      </c>
    </row>
    <row r="187" spans="1:19" s="238" customFormat="1" ht="14.25">
      <c r="A187" s="235">
        <v>1</v>
      </c>
      <c r="B187" s="228" t="s">
        <v>192</v>
      </c>
      <c r="C187" s="236">
        <v>37</v>
      </c>
      <c r="D187" s="222">
        <v>3</v>
      </c>
      <c r="E187" s="222">
        <v>3</v>
      </c>
      <c r="F187" s="229">
        <f t="shared" ref="F187" si="31">(E187-D187)/D187%</f>
        <v>0</v>
      </c>
      <c r="G187" s="229">
        <f t="shared" ref="G187:G200" si="32">E187/C187%</f>
        <v>8.1081081081081088</v>
      </c>
      <c r="H187" s="222">
        <f>'[6]1.RSP Districts '!H187</f>
        <v>0</v>
      </c>
      <c r="I187" s="222">
        <v>78</v>
      </c>
      <c r="J187" s="236">
        <v>65409.560439560439</v>
      </c>
      <c r="K187" s="222">
        <v>543</v>
      </c>
      <c r="L187" s="222">
        <f>+K187+569</f>
        <v>1112</v>
      </c>
      <c r="M187" s="229">
        <f>(L187-K187)/K187%</f>
        <v>104.78821362799263</v>
      </c>
      <c r="N187" s="229">
        <v>0</v>
      </c>
      <c r="O187" s="222">
        <v>29</v>
      </c>
      <c r="P187" s="222">
        <v>49</v>
      </c>
      <c r="Q187" s="229">
        <f>(P187-O187)/O187%</f>
        <v>68.965517241379317</v>
      </c>
      <c r="R187" s="237" t="s">
        <v>9</v>
      </c>
      <c r="S187" s="231">
        <v>1</v>
      </c>
    </row>
    <row r="188" spans="1:19" s="6" customFormat="1" ht="14.25" hidden="1">
      <c r="A188" s="92">
        <v>2</v>
      </c>
      <c r="B188" s="23" t="s">
        <v>182</v>
      </c>
      <c r="C188" s="57">
        <v>28</v>
      </c>
      <c r="D188" s="57"/>
      <c r="E188" s="57"/>
      <c r="F188" s="102">
        <v>0</v>
      </c>
      <c r="G188" s="102">
        <f t="shared" si="32"/>
        <v>0</v>
      </c>
      <c r="H188" s="102">
        <v>0</v>
      </c>
      <c r="I188" s="102"/>
      <c r="J188" s="57">
        <v>55225.252525252523</v>
      </c>
      <c r="K188" s="24"/>
      <c r="L188" s="57"/>
      <c r="M188" s="102" t="e">
        <f>(L188-K188)/K188%</f>
        <v>#DIV/0!</v>
      </c>
      <c r="N188" s="102">
        <v>0</v>
      </c>
      <c r="O188" s="24"/>
      <c r="P188" s="99"/>
      <c r="Q188" s="102">
        <v>0</v>
      </c>
      <c r="R188" s="93">
        <v>0</v>
      </c>
      <c r="S188" s="1">
        <v>1</v>
      </c>
    </row>
    <row r="189" spans="1:19" s="238" customFormat="1" ht="14.25">
      <c r="A189" s="235">
        <v>3</v>
      </c>
      <c r="B189" s="228" t="s">
        <v>157</v>
      </c>
      <c r="C189" s="222">
        <v>23</v>
      </c>
      <c r="D189" s="222">
        <f>'[6]1.RSP Districts '!D189</f>
        <v>3</v>
      </c>
      <c r="E189" s="222">
        <v>3</v>
      </c>
      <c r="F189" s="229">
        <f t="shared" ref="F189:F190" si="33">(E189-D189)/D189%</f>
        <v>0</v>
      </c>
      <c r="G189" s="229">
        <f t="shared" si="32"/>
        <v>13.043478260869565</v>
      </c>
      <c r="H189" s="222">
        <f>'[6]1.RSP Districts '!H189</f>
        <v>0</v>
      </c>
      <c r="I189" s="222"/>
      <c r="J189" s="222">
        <v>42293.396226415098</v>
      </c>
      <c r="K189" s="222">
        <v>4668</v>
      </c>
      <c r="L189" s="222">
        <v>4668</v>
      </c>
      <c r="M189" s="229">
        <f>(L189-K189)/K189%</f>
        <v>0</v>
      </c>
      <c r="N189" s="229">
        <f>L189/J189%</f>
        <v>11.037184091365349</v>
      </c>
      <c r="O189" s="222">
        <v>143</v>
      </c>
      <c r="P189" s="222">
        <v>143</v>
      </c>
      <c r="Q189" s="229">
        <f>(P189-O189)/O189%</f>
        <v>0</v>
      </c>
      <c r="R189" s="237" t="s">
        <v>9</v>
      </c>
      <c r="S189" s="231">
        <v>1</v>
      </c>
    </row>
    <row r="190" spans="1:19" s="238" customFormat="1" ht="14.25">
      <c r="A190" s="235">
        <v>4</v>
      </c>
      <c r="B190" s="228" t="s">
        <v>183</v>
      </c>
      <c r="C190" s="222">
        <v>21</v>
      </c>
      <c r="D190" s="222">
        <v>3</v>
      </c>
      <c r="E190" s="222">
        <v>3</v>
      </c>
      <c r="F190" s="229">
        <f t="shared" si="33"/>
        <v>0</v>
      </c>
      <c r="G190" s="229">
        <f t="shared" si="32"/>
        <v>14.285714285714286</v>
      </c>
      <c r="H190" s="222">
        <f>'[6]1.RSP Districts '!H190</f>
        <v>0</v>
      </c>
      <c r="I190" s="222">
        <v>78</v>
      </c>
      <c r="J190" s="236">
        <v>37161.444444444445</v>
      </c>
      <c r="K190" s="222">
        <v>650</v>
      </c>
      <c r="L190" s="222">
        <f>+K190+468</f>
        <v>1118</v>
      </c>
      <c r="M190" s="229">
        <f>(L190-K190)/K190%</f>
        <v>72</v>
      </c>
      <c r="N190" s="229">
        <v>0</v>
      </c>
      <c r="O190" s="222">
        <v>45</v>
      </c>
      <c r="P190" s="222">
        <v>45</v>
      </c>
      <c r="Q190" s="229">
        <f>(P190-O190)/O190%</f>
        <v>0</v>
      </c>
      <c r="R190" s="237" t="s">
        <v>9</v>
      </c>
      <c r="S190" s="231">
        <v>1</v>
      </c>
    </row>
    <row r="191" spans="1:19" s="6" customFormat="1" ht="14.25" hidden="1">
      <c r="A191" s="92">
        <v>5</v>
      </c>
      <c r="B191" s="23" t="s">
        <v>184</v>
      </c>
      <c r="C191" s="24">
        <v>22</v>
      </c>
      <c r="D191" s="57"/>
      <c r="E191" s="57"/>
      <c r="F191" s="102">
        <v>0</v>
      </c>
      <c r="G191" s="102">
        <f t="shared" si="32"/>
        <v>0</v>
      </c>
      <c r="H191" s="102">
        <v>0</v>
      </c>
      <c r="I191" s="102"/>
      <c r="J191" s="57">
        <v>39697.362637362639</v>
      </c>
      <c r="K191" s="24"/>
      <c r="L191" s="57"/>
      <c r="M191" s="102" t="e">
        <f t="shared" ref="M191:M199" si="34">(L191-K191)/K191%</f>
        <v>#DIV/0!</v>
      </c>
      <c r="N191" s="102">
        <v>0</v>
      </c>
      <c r="O191" s="24"/>
      <c r="P191" s="24"/>
      <c r="Q191" s="102">
        <v>0</v>
      </c>
      <c r="R191" s="93">
        <v>0</v>
      </c>
      <c r="S191" s="1">
        <v>1</v>
      </c>
    </row>
    <row r="192" spans="1:19" s="6" customFormat="1" ht="14.25" hidden="1">
      <c r="A192" s="92">
        <v>6</v>
      </c>
      <c r="B192" s="23" t="s">
        <v>185</v>
      </c>
      <c r="C192" s="24">
        <v>15</v>
      </c>
      <c r="D192" s="57"/>
      <c r="E192" s="57"/>
      <c r="F192" s="102">
        <v>0</v>
      </c>
      <c r="G192" s="102">
        <v>0</v>
      </c>
      <c r="H192" s="102">
        <v>0</v>
      </c>
      <c r="I192" s="102"/>
      <c r="J192" s="57">
        <v>25618.295454545452</v>
      </c>
      <c r="K192" s="24"/>
      <c r="L192" s="57"/>
      <c r="M192" s="102" t="e">
        <f t="shared" si="34"/>
        <v>#DIV/0!</v>
      </c>
      <c r="N192" s="102">
        <v>0</v>
      </c>
      <c r="O192" s="24"/>
      <c r="P192" s="24"/>
      <c r="Q192" s="102">
        <v>0</v>
      </c>
      <c r="R192" s="93">
        <v>0</v>
      </c>
      <c r="S192" s="1">
        <v>1</v>
      </c>
    </row>
    <row r="193" spans="1:20" s="238" customFormat="1" ht="14.25">
      <c r="A193" s="235">
        <v>7</v>
      </c>
      <c r="B193" s="228" t="s">
        <v>186</v>
      </c>
      <c r="C193" s="222">
        <v>29</v>
      </c>
      <c r="D193" s="222">
        <v>3</v>
      </c>
      <c r="E193" s="222">
        <v>3</v>
      </c>
      <c r="F193" s="229">
        <f t="shared" ref="F193" si="35">(E193-D193)/D193%</f>
        <v>0</v>
      </c>
      <c r="G193" s="229">
        <v>0</v>
      </c>
      <c r="H193" s="222">
        <f>'[6]1.RSP Districts '!H193</f>
        <v>0</v>
      </c>
      <c r="I193" s="222">
        <v>78</v>
      </c>
      <c r="J193" s="236">
        <v>50569.529411764706</v>
      </c>
      <c r="K193" s="222">
        <v>329</v>
      </c>
      <c r="L193" s="222">
        <f>+K193+395</f>
        <v>724</v>
      </c>
      <c r="M193" s="229">
        <f t="shared" si="34"/>
        <v>120.06079027355624</v>
      </c>
      <c r="N193" s="229">
        <v>0</v>
      </c>
      <c r="O193" s="222">
        <v>34</v>
      </c>
      <c r="P193" s="222">
        <v>49</v>
      </c>
      <c r="Q193" s="229">
        <f>(P193-O193)/O193%</f>
        <v>44.117647058823529</v>
      </c>
      <c r="R193" s="237" t="s">
        <v>9</v>
      </c>
      <c r="S193" s="231">
        <v>1</v>
      </c>
    </row>
    <row r="194" spans="1:20" s="6" customFormat="1" ht="14.25" hidden="1">
      <c r="A194" s="92">
        <v>8</v>
      </c>
      <c r="B194" s="23" t="s">
        <v>187</v>
      </c>
      <c r="C194" s="24">
        <v>1</v>
      </c>
      <c r="D194" s="57"/>
      <c r="E194" s="57"/>
      <c r="F194" s="102">
        <v>0</v>
      </c>
      <c r="G194" s="102">
        <v>0</v>
      </c>
      <c r="H194" s="102">
        <v>0</v>
      </c>
      <c r="I194" s="102"/>
      <c r="J194" s="57">
        <v>931.6</v>
      </c>
      <c r="K194" s="24"/>
      <c r="L194" s="57"/>
      <c r="M194" s="102" t="e">
        <f t="shared" si="34"/>
        <v>#DIV/0!</v>
      </c>
      <c r="N194" s="102">
        <v>0</v>
      </c>
      <c r="O194" s="24"/>
      <c r="P194" s="24"/>
      <c r="Q194" s="102">
        <v>0</v>
      </c>
      <c r="R194" s="93">
        <v>0</v>
      </c>
      <c r="S194" s="1">
        <v>1</v>
      </c>
    </row>
    <row r="195" spans="1:20" s="6" customFormat="1" ht="14.25" hidden="1">
      <c r="A195" s="92">
        <v>9</v>
      </c>
      <c r="B195" s="23" t="s">
        <v>188</v>
      </c>
      <c r="C195" s="24">
        <v>1</v>
      </c>
      <c r="D195" s="57"/>
      <c r="E195" s="57"/>
      <c r="F195" s="102">
        <v>0</v>
      </c>
      <c r="G195" s="102">
        <f t="shared" si="32"/>
        <v>0</v>
      </c>
      <c r="H195" s="102">
        <v>0</v>
      </c>
      <c r="I195" s="102"/>
      <c r="J195" s="57">
        <v>2040.9375</v>
      </c>
      <c r="K195" s="24"/>
      <c r="L195" s="57"/>
      <c r="M195" s="102" t="e">
        <f t="shared" si="34"/>
        <v>#DIV/0!</v>
      </c>
      <c r="N195" s="102">
        <v>0</v>
      </c>
      <c r="O195" s="24"/>
      <c r="P195" s="24"/>
      <c r="Q195" s="102">
        <v>0</v>
      </c>
      <c r="R195" s="93">
        <v>0</v>
      </c>
      <c r="S195" s="1">
        <v>1</v>
      </c>
    </row>
    <row r="196" spans="1:20" s="6" customFormat="1" ht="14.25" hidden="1">
      <c r="A196" s="92">
        <v>10</v>
      </c>
      <c r="B196" s="23" t="s">
        <v>189</v>
      </c>
      <c r="C196" s="24">
        <v>3</v>
      </c>
      <c r="D196" s="57"/>
      <c r="E196" s="57"/>
      <c r="F196" s="102">
        <v>0</v>
      </c>
      <c r="G196" s="102">
        <v>0</v>
      </c>
      <c r="H196" s="102">
        <v>0</v>
      </c>
      <c r="I196" s="102"/>
      <c r="J196" s="57">
        <v>5491.5492957746483</v>
      </c>
      <c r="K196" s="24"/>
      <c r="L196" s="57"/>
      <c r="M196" s="102" t="e">
        <f t="shared" si="34"/>
        <v>#DIV/0!</v>
      </c>
      <c r="N196" s="102">
        <v>0</v>
      </c>
      <c r="O196" s="24"/>
      <c r="P196" s="24"/>
      <c r="Q196" s="102">
        <v>0</v>
      </c>
      <c r="R196" s="93">
        <v>0</v>
      </c>
      <c r="S196" s="1">
        <v>1</v>
      </c>
    </row>
    <row r="197" spans="1:20" s="6" customFormat="1" ht="14.25" hidden="1">
      <c r="A197" s="92">
        <v>11</v>
      </c>
      <c r="B197" s="23" t="s">
        <v>190</v>
      </c>
      <c r="C197" s="24">
        <v>5</v>
      </c>
      <c r="D197" s="57"/>
      <c r="E197" s="57"/>
      <c r="F197" s="102">
        <v>0</v>
      </c>
      <c r="G197" s="102">
        <f t="shared" si="32"/>
        <v>0</v>
      </c>
      <c r="H197" s="102">
        <v>0</v>
      </c>
      <c r="I197" s="102"/>
      <c r="J197" s="57">
        <v>9511.3978494623643</v>
      </c>
      <c r="K197" s="24"/>
      <c r="L197" s="57"/>
      <c r="M197" s="102" t="e">
        <f t="shared" si="34"/>
        <v>#DIV/0!</v>
      </c>
      <c r="N197" s="102">
        <v>0</v>
      </c>
      <c r="O197" s="24"/>
      <c r="P197" s="24"/>
      <c r="Q197" s="102">
        <v>0</v>
      </c>
      <c r="R197" s="93">
        <v>0</v>
      </c>
      <c r="S197" s="1">
        <v>1</v>
      </c>
    </row>
    <row r="198" spans="1:20" s="6" customFormat="1" ht="14.25">
      <c r="A198" s="92">
        <v>12</v>
      </c>
      <c r="B198" s="47" t="s">
        <v>158</v>
      </c>
      <c r="C198" s="24">
        <v>3</v>
      </c>
      <c r="D198" s="24">
        <f>'[6]1.RSP Districts '!D198</f>
        <v>3</v>
      </c>
      <c r="E198" s="24">
        <v>3</v>
      </c>
      <c r="F198" s="229">
        <f t="shared" ref="F198" si="36">(E198-D198)/D198%</f>
        <v>0</v>
      </c>
      <c r="G198" s="102">
        <f t="shared" si="32"/>
        <v>100</v>
      </c>
      <c r="H198" s="24">
        <f>'[6]1.RSP Districts '!H198</f>
        <v>0</v>
      </c>
      <c r="I198" s="24">
        <f>'[6]1.RSP Districts '!I198</f>
        <v>0</v>
      </c>
      <c r="J198" s="24">
        <v>6118.295454545454</v>
      </c>
      <c r="K198" s="24">
        <v>1738</v>
      </c>
      <c r="L198" s="24">
        <v>1738</v>
      </c>
      <c r="M198" s="102">
        <f t="shared" si="34"/>
        <v>0</v>
      </c>
      <c r="N198" s="102">
        <f>L198/J198%</f>
        <v>28.406604632157652</v>
      </c>
      <c r="O198" s="24">
        <v>116</v>
      </c>
      <c r="P198" s="24">
        <v>116</v>
      </c>
      <c r="Q198" s="102">
        <f>(P198-O198)/O198%</f>
        <v>0</v>
      </c>
      <c r="R198" s="31" t="s">
        <v>9</v>
      </c>
      <c r="S198" s="1">
        <v>1</v>
      </c>
    </row>
    <row r="199" spans="1:20" s="6" customFormat="1" ht="14.25" hidden="1">
      <c r="A199" s="146">
        <v>13</v>
      </c>
      <c r="B199" s="37" t="s">
        <v>191</v>
      </c>
      <c r="C199" s="38">
        <v>2</v>
      </c>
      <c r="D199" s="145"/>
      <c r="E199" s="145"/>
      <c r="F199" s="134">
        <v>0</v>
      </c>
      <c r="G199" s="134">
        <f t="shared" si="32"/>
        <v>0</v>
      </c>
      <c r="H199" s="134">
        <v>0</v>
      </c>
      <c r="I199" s="134"/>
      <c r="J199" s="145">
        <v>3581.0526315789475</v>
      </c>
      <c r="K199" s="38"/>
      <c r="L199" s="145"/>
      <c r="M199" s="102" t="e">
        <f t="shared" si="34"/>
        <v>#DIV/0!</v>
      </c>
      <c r="N199" s="134">
        <v>0</v>
      </c>
      <c r="O199" s="38"/>
      <c r="P199" s="144"/>
      <c r="Q199" s="134">
        <v>0</v>
      </c>
      <c r="R199" s="143">
        <v>0</v>
      </c>
      <c r="S199" s="1">
        <v>1</v>
      </c>
    </row>
    <row r="200" spans="1:20" s="4" customFormat="1" ht="15.75" hidden="1" thickBot="1">
      <c r="A200" s="150">
        <f>COUNTIF(R187:R199,"*")</f>
        <v>5</v>
      </c>
      <c r="B200" s="149" t="s">
        <v>33</v>
      </c>
      <c r="C200" s="56">
        <f>SUM(C187:C199)</f>
        <v>190</v>
      </c>
      <c r="D200" s="56">
        <f>SUM(D187:D199)</f>
        <v>15</v>
      </c>
      <c r="E200" s="56">
        <f>SUM(E187:E199)</f>
        <v>15</v>
      </c>
      <c r="F200" s="151">
        <f>(E200-D200)/D200%</f>
        <v>0</v>
      </c>
      <c r="G200" s="151">
        <f t="shared" si="32"/>
        <v>7.8947368421052637</v>
      </c>
      <c r="H200" s="151">
        <f>SUM(H187:H199)</f>
        <v>0</v>
      </c>
      <c r="I200" s="151"/>
      <c r="J200" s="56">
        <f>SUM(J187:J199)</f>
        <v>343649.6738707067</v>
      </c>
      <c r="K200" s="218">
        <f>SUM(K187:K199)</f>
        <v>7928</v>
      </c>
      <c r="L200" s="56">
        <f>SUM(L187:L199)</f>
        <v>9360</v>
      </c>
      <c r="M200" s="151">
        <f>(L200-K200)/K200%</f>
        <v>18.062563067608476</v>
      </c>
      <c r="N200" s="151">
        <f>L200/J200%</f>
        <v>2.7237040252572937</v>
      </c>
      <c r="O200" s="56">
        <f>SUM(O187:O199)</f>
        <v>367</v>
      </c>
      <c r="P200" s="56">
        <f>SUM(P187:P199)</f>
        <v>402</v>
      </c>
      <c r="Q200" s="151">
        <f>(P200-O200)/O200%</f>
        <v>9.5367847411444142</v>
      </c>
      <c r="R200" s="153"/>
      <c r="S200" s="1">
        <v>1</v>
      </c>
    </row>
    <row r="201" spans="1:20" s="4" customFormat="1" ht="6.75" hidden="1" customHeight="1" thickBot="1">
      <c r="A201" s="34"/>
      <c r="B201" s="48"/>
      <c r="C201" s="34"/>
      <c r="D201" s="27"/>
      <c r="E201" s="27"/>
      <c r="F201" s="103"/>
      <c r="G201" s="103"/>
      <c r="H201" s="103"/>
      <c r="I201" s="103"/>
      <c r="J201" s="34"/>
      <c r="K201" s="27"/>
      <c r="L201" s="27"/>
      <c r="M201" s="27"/>
      <c r="N201" s="27"/>
      <c r="O201" s="27"/>
      <c r="P201" s="27"/>
      <c r="Q201" s="27"/>
      <c r="R201" s="49"/>
      <c r="S201" s="1">
        <v>1</v>
      </c>
    </row>
    <row r="202" spans="1:20" s="4" customFormat="1" ht="13.5" hidden="1" customHeight="1" thickBot="1">
      <c r="A202" s="50">
        <f>(A40+A77+A103+A155+A174+A184+A7+A200)</f>
        <v>119</v>
      </c>
      <c r="B202" s="51" t="s">
        <v>159</v>
      </c>
      <c r="C202" s="56">
        <f>C40+C77+C103+C155+C174+C184+C7+C200</f>
        <v>5578</v>
      </c>
      <c r="D202" s="218">
        <f>D40+D77+D103+D155+D174+D184+D7+D200</f>
        <v>3605</v>
      </c>
      <c r="E202" s="56">
        <f>E40+E77+E103+E155+E174+E184+E7+E200</f>
        <v>638</v>
      </c>
      <c r="F202" s="151">
        <f>(E202-D202)/D202%</f>
        <v>-82.30235783633843</v>
      </c>
      <c r="G202" s="151">
        <f>E202/C202%</f>
        <v>11.437791323054858</v>
      </c>
      <c r="H202" s="56">
        <f>H40+H77+H103+H155+H174+H184+H7+H200</f>
        <v>29078</v>
      </c>
      <c r="I202" s="56">
        <f>I40+I77+I103+I155+I174+I184+I7+I200</f>
        <v>4465</v>
      </c>
      <c r="J202" s="56">
        <f>J200+J184+J174+J155+J103+J77+J40+J7</f>
        <v>12479974.528189644</v>
      </c>
      <c r="K202" s="218">
        <f>K40+K77+K103+K155+K174+K184+K7+K200</f>
        <v>5523377</v>
      </c>
      <c r="L202" s="56">
        <f>L40+L77+L103+L155+L174+L184+L7+L200</f>
        <v>1094135</v>
      </c>
      <c r="M202" s="151">
        <f>(L202-K202)/K202%</f>
        <v>-80.190832528722922</v>
      </c>
      <c r="N202" s="151">
        <f>L202/J202%</f>
        <v>8.7671252655891134</v>
      </c>
      <c r="O202" s="218">
        <f>O200+O184+O174+O155+O103+O77+O40+O7</f>
        <v>332106</v>
      </c>
      <c r="P202" s="56">
        <f>P200+P184+P174+P155+P103+P77+P40+P7</f>
        <v>38702</v>
      </c>
      <c r="Q202" s="151">
        <f>(P202-O202)/O202%</f>
        <v>-88.346491782744067</v>
      </c>
      <c r="R202" s="132"/>
      <c r="S202" s="1">
        <v>1</v>
      </c>
    </row>
    <row r="203" spans="1:20" ht="6" hidden="1" customHeight="1">
      <c r="A203" s="15"/>
      <c r="B203" s="13"/>
      <c r="C203" s="58"/>
      <c r="D203" s="27"/>
      <c r="E203" s="27"/>
      <c r="F203" s="103"/>
      <c r="G203" s="103"/>
      <c r="H203" s="103"/>
      <c r="I203" s="103"/>
      <c r="J203" s="58"/>
      <c r="K203" s="58"/>
      <c r="L203" s="58"/>
      <c r="M203" s="58"/>
      <c r="N203" s="58"/>
      <c r="O203" s="58"/>
      <c r="P203" s="58"/>
      <c r="Q203" s="147"/>
      <c r="R203" s="14"/>
      <c r="S203" s="1">
        <v>1</v>
      </c>
    </row>
    <row r="204" spans="1:20" ht="16.5" hidden="1" customHeight="1" thickBot="1">
      <c r="A204" s="82" t="s">
        <v>160</v>
      </c>
      <c r="B204" s="13"/>
      <c r="C204" s="58"/>
      <c r="D204" s="27"/>
      <c r="E204" s="27"/>
      <c r="F204" s="103"/>
      <c r="G204" s="103"/>
      <c r="H204" s="103"/>
      <c r="I204" s="103"/>
      <c r="J204" s="58"/>
      <c r="K204" s="58"/>
      <c r="L204" s="58"/>
      <c r="M204" s="58"/>
      <c r="N204" s="58"/>
      <c r="O204" s="58"/>
      <c r="P204" s="58"/>
      <c r="Q204" s="58"/>
      <c r="R204" s="14"/>
      <c r="S204" s="1">
        <v>1</v>
      </c>
    </row>
    <row r="205" spans="1:20" ht="14.25" hidden="1">
      <c r="A205" s="94" t="s">
        <v>200</v>
      </c>
      <c r="B205" s="95" t="s">
        <v>202</v>
      </c>
      <c r="C205" s="52"/>
      <c r="D205" s="100"/>
      <c r="E205" s="100"/>
      <c r="F205" s="107"/>
      <c r="G205" s="107"/>
      <c r="H205" s="136"/>
      <c r="I205" s="136"/>
      <c r="J205" s="53"/>
      <c r="K205" s="54"/>
      <c r="L205" s="54"/>
      <c r="M205" s="54"/>
      <c r="N205" s="54"/>
      <c r="O205" s="54"/>
      <c r="P205" s="54"/>
      <c r="Q205" s="54"/>
      <c r="R205" s="55"/>
      <c r="S205" s="1">
        <v>1</v>
      </c>
    </row>
    <row r="206" spans="1:20" ht="14.25" hidden="1">
      <c r="A206" s="22">
        <f>COUNTIF($R$6:$R$200,"AJKRSP")</f>
        <v>8</v>
      </c>
      <c r="B206" s="23" t="s">
        <v>285</v>
      </c>
      <c r="C206" s="29">
        <f>SUMIF($R$6:$R$199,"AJKRSP",$C$6:$C$199)</f>
        <v>176</v>
      </c>
      <c r="D206" s="29">
        <f>SUMIF($R$6:$R$199,"AJKRSP",$D$6:$D$199)</f>
        <v>136</v>
      </c>
      <c r="E206" s="29">
        <f>SUMIF($R$6:$R$199,"AJKRSP",$E$6:$E$199)</f>
        <v>136</v>
      </c>
      <c r="F206" s="102">
        <f>(E206-D206)/D206%</f>
        <v>0</v>
      </c>
      <c r="G206" s="102">
        <f t="shared" ref="G206:G216" si="37">E206/C206%</f>
        <v>77.272727272727266</v>
      </c>
      <c r="H206" s="29">
        <f>SUMIF($R$6:$R$199,"AJKRSP",$H$6:$H$199)</f>
        <v>622</v>
      </c>
      <c r="I206" s="29">
        <f>SUMIF($R$6:$R$199,"AJKRSP",$I$6:$I$199)</f>
        <v>622</v>
      </c>
      <c r="J206" s="29">
        <f>SUMIF($R$6:$R$199,"AJKRSP",$J$6:$J$199)</f>
        <v>353469.33658932324</v>
      </c>
      <c r="K206" s="29">
        <f>SUMIF($R$6:$R$199,"AJKRSP",$K$6:$K$199)</f>
        <v>102320</v>
      </c>
      <c r="L206" s="29">
        <f>SUMIF($R$6:$R$199,"AJKRSP",$L$6:$L$199)</f>
        <v>102320</v>
      </c>
      <c r="M206" s="102">
        <f t="shared" ref="M206:M216" si="38">(L206-K206)/K206%</f>
        <v>0</v>
      </c>
      <c r="N206" s="102">
        <f t="shared" ref="N206:N216" si="39">L206/J206%</f>
        <v>28.947348301072019</v>
      </c>
      <c r="O206" s="29">
        <f>SUMIF($R$6:$R$199,"AJKRSP",$O$6:$O$199)</f>
        <v>4750</v>
      </c>
      <c r="P206" s="29">
        <f>SUMIF($R$6:$R$199,"AJKRSP",$P$6:$P$199)</f>
        <v>4750</v>
      </c>
      <c r="Q206" s="102">
        <f t="shared" ref="Q206:Q216" si="40">(P206-O206)/O206%</f>
        <v>0</v>
      </c>
      <c r="R206" s="31" t="s">
        <v>1</v>
      </c>
      <c r="S206" s="1">
        <v>1</v>
      </c>
    </row>
    <row r="207" spans="1:20" s="6" customFormat="1" ht="14.25" hidden="1">
      <c r="A207" s="22">
        <f>COUNTIF($R$6:$R$200,"AKRSP")</f>
        <v>7</v>
      </c>
      <c r="B207" s="32" t="s">
        <v>211</v>
      </c>
      <c r="C207" s="29">
        <f>SUMIF($R$6:$R$199,"AKRSP",$C$6:$C$199)</f>
        <v>118</v>
      </c>
      <c r="D207" s="29">
        <f>SUMIF($R$6:$R$199,"AKRSP",$D$6:$D$199)</f>
        <v>118</v>
      </c>
      <c r="E207" s="29">
        <f>SUMIF($R$6:$R$199,"AKRSP",$E$6:$E$199)</f>
        <v>118</v>
      </c>
      <c r="F207" s="102">
        <f t="shared" ref="F207:F216" si="41">(E207-D207)/D207%</f>
        <v>0</v>
      </c>
      <c r="G207" s="102">
        <f t="shared" si="37"/>
        <v>100</v>
      </c>
      <c r="H207" s="29">
        <f>SUMIF($R$6:$R$199,"AKRSP",$H$6:$H$199)</f>
        <v>864</v>
      </c>
      <c r="I207" s="29">
        <f>SUMIF($R$6:$R$199,"AKRSP",$I$6:$I$199)</f>
        <v>864</v>
      </c>
      <c r="J207" s="29">
        <f>SUMIF($R$6:$R$199,"AKRSP",$J$6:$J$199)</f>
        <v>145528.83396348439</v>
      </c>
      <c r="K207" s="29">
        <f>SUMIF($R$6:$R$199,"AKRSP",$K$6:$K$199)</f>
        <v>110695</v>
      </c>
      <c r="L207" s="29">
        <f>SUMIF($R$6:$R$199,"AKRSP",$L$6:$L$199)</f>
        <v>110695</v>
      </c>
      <c r="M207" s="102">
        <f t="shared" si="38"/>
        <v>0</v>
      </c>
      <c r="N207" s="102">
        <f t="shared" si="39"/>
        <v>76.063964085478219</v>
      </c>
      <c r="O207" s="29">
        <f>SUMIF($R$6:$R$199,"AKRSP",$O$6:$O$199)</f>
        <v>3384</v>
      </c>
      <c r="P207" s="29">
        <f>SUMIF($R$6:$R$199,"AKRSP",$P$6:$P$199)</f>
        <v>3384</v>
      </c>
      <c r="Q207" s="102">
        <f t="shared" si="40"/>
        <v>0</v>
      </c>
      <c r="R207" s="31" t="s">
        <v>2</v>
      </c>
      <c r="S207" s="1">
        <v>1</v>
      </c>
    </row>
    <row r="208" spans="1:20" s="6" customFormat="1" ht="14.25" hidden="1">
      <c r="A208" s="22">
        <f>COUNTIF($R$6:$R$200,"BRSP")</f>
        <v>14</v>
      </c>
      <c r="B208" s="32" t="s">
        <v>212</v>
      </c>
      <c r="C208" s="29">
        <f>SUMIF($R$6:$R$199,"BRSP",$C$6:$C$199)</f>
        <v>313</v>
      </c>
      <c r="D208" s="29">
        <f>SUMIF($R$6:$R$199,"BRSP",$D$6:$D$199)</f>
        <v>204</v>
      </c>
      <c r="E208" s="29">
        <f>SUMIF($R$6:$R$199,"BRSP",$E$6:$E$199)</f>
        <v>0</v>
      </c>
      <c r="F208" s="102">
        <f t="shared" si="41"/>
        <v>-100</v>
      </c>
      <c r="G208" s="102">
        <f t="shared" si="37"/>
        <v>0</v>
      </c>
      <c r="H208" s="29">
        <f>SUMIF($R$6:$R$199,"BRSP",$H$6:$H$199)</f>
        <v>1338</v>
      </c>
      <c r="I208" s="29">
        <f>SUMIF($R$6:$R$199,"BRSP",$I$6:$I$199)</f>
        <v>0</v>
      </c>
      <c r="J208" s="29">
        <f>SUMIF($R$6:$R$199,"BRSP",$J$6:$J$199)</f>
        <v>423186.125</v>
      </c>
      <c r="K208" s="29">
        <v>187074</v>
      </c>
      <c r="L208" s="29">
        <f>SUMIF($R$6:$R$199,"BRSP",$L$6:$L$199)</f>
        <v>0</v>
      </c>
      <c r="M208" s="102">
        <f t="shared" si="38"/>
        <v>-100</v>
      </c>
      <c r="N208" s="102">
        <f t="shared" si="39"/>
        <v>0</v>
      </c>
      <c r="O208" s="29">
        <f>SUMIF($R$6:$R$199,"BRSP",$O$6:$O$199)</f>
        <v>11481</v>
      </c>
      <c r="P208" s="29">
        <f>SUMIF($R$6:$R$199,"BRSP",$P$6:$P$199)</f>
        <v>0</v>
      </c>
      <c r="Q208" s="102">
        <f t="shared" si="40"/>
        <v>-100</v>
      </c>
      <c r="R208" s="31" t="s">
        <v>3</v>
      </c>
      <c r="S208" s="1">
        <v>1</v>
      </c>
      <c r="T208" s="86"/>
    </row>
    <row r="209" spans="1:20" s="6" customFormat="1" ht="14.25" hidden="1">
      <c r="A209" s="22">
        <f>COUNTIF($R$6:$R$200,"GBTI")</f>
        <v>3</v>
      </c>
      <c r="B209" s="32" t="s">
        <v>287</v>
      </c>
      <c r="C209" s="29">
        <f>SUMIF($R$6:$R$199,"GBTI",$C$6:$C$199)</f>
        <v>165</v>
      </c>
      <c r="D209" s="29">
        <f>SUMIF($R$6:$R$199,"GBTI",$D$6:$D$199)</f>
        <v>63</v>
      </c>
      <c r="E209" s="29">
        <f>SUMIF($R$6:$R$199,"GBTI",$E$6:$E$199)</f>
        <v>45</v>
      </c>
      <c r="F209" s="102">
        <f t="shared" si="41"/>
        <v>-28.571428571428573</v>
      </c>
      <c r="G209" s="102">
        <f t="shared" si="37"/>
        <v>27.272727272727273</v>
      </c>
      <c r="H209" s="29">
        <f>SUMIF($R$6:$R$199,"GBTI",$H$6:$H$199)</f>
        <v>249</v>
      </c>
      <c r="I209" s="29">
        <f>SUMIF($R$6:$R$199,"GBTI",$I$6:$I$199)</f>
        <v>0</v>
      </c>
      <c r="J209" s="29">
        <f>SUMIF($R$6:$R$199,"GBTI",$J$6:$J$199)</f>
        <v>371315</v>
      </c>
      <c r="K209" s="29">
        <f>SUMIF($R$6:$R$199,"GBTI",$K$6:$K$199)</f>
        <v>34324</v>
      </c>
      <c r="L209" s="29">
        <f>SUMIF($R$6:$R$199,"GBTI",$L$6:$L$199)</f>
        <v>0</v>
      </c>
      <c r="M209" s="102">
        <f t="shared" si="38"/>
        <v>-100</v>
      </c>
      <c r="N209" s="102">
        <f t="shared" si="39"/>
        <v>0</v>
      </c>
      <c r="O209" s="29">
        <f>SUMIF($R$6:$R$199,"GBTI",$O$6:$O$199)</f>
        <v>3103</v>
      </c>
      <c r="P209" s="29">
        <f>SUMIF($R$6:$R$199,"GBTI",$P$6:$P$199)</f>
        <v>0</v>
      </c>
      <c r="Q209" s="102">
        <f t="shared" si="40"/>
        <v>-100</v>
      </c>
      <c r="R209" s="31" t="s">
        <v>4</v>
      </c>
      <c r="S209" s="1">
        <v>1</v>
      </c>
    </row>
    <row r="210" spans="1:20" s="6" customFormat="1" ht="14.25" hidden="1">
      <c r="A210" s="22">
        <f>COUNTIF($R$6:$R$200,"NRSP")</f>
        <v>53</v>
      </c>
      <c r="B210" s="32" t="s">
        <v>213</v>
      </c>
      <c r="C210" s="29">
        <f>SUMIF($R$6:$R$199,"NRSP",$C$6:$C$199)</f>
        <v>2602</v>
      </c>
      <c r="D210" s="29">
        <f>SUMIF($R$6:$R$199,"NRSP",$D$6:$D$199)</f>
        <v>2047</v>
      </c>
      <c r="E210" s="29">
        <f>SUMIF($R$6:$R$199,"NRSP",$E$6:$E$199)</f>
        <v>21</v>
      </c>
      <c r="F210" s="102">
        <f t="shared" si="41"/>
        <v>-98.974108451392283</v>
      </c>
      <c r="G210" s="102">
        <f t="shared" si="37"/>
        <v>0.80707148347425062</v>
      </c>
      <c r="H210" s="29">
        <f>SUMIF($R$6:$R$199,"NRSP",$H$6:$H$199)</f>
        <v>14334</v>
      </c>
      <c r="I210" s="29">
        <f>SUMIF($R$6:$R$199,"NRSP",$I$6:$I$199)</f>
        <v>111</v>
      </c>
      <c r="J210" s="29">
        <f>SUMIF($R$6:$R$199,"NRSP",$J$6:$J$199)</f>
        <v>6342162.7295798948</v>
      </c>
      <c r="K210" s="29">
        <f>SUMIF($R$6:$R$199,"NRSP",$K$6:$K$199)</f>
        <v>2339537</v>
      </c>
      <c r="L210" s="29">
        <f>SUMIF($R$6:$R$199,"NRSP",$L$6:$L$199)</f>
        <v>139064</v>
      </c>
      <c r="M210" s="102">
        <f t="shared" si="38"/>
        <v>-94.05591790170449</v>
      </c>
      <c r="N210" s="102">
        <f t="shared" si="39"/>
        <v>2.1926905052657268</v>
      </c>
      <c r="O210" s="29">
        <f>SUMIF($R$6:$R$199,"NRSP",$O$6:$O$199)</f>
        <v>154607</v>
      </c>
      <c r="P210" s="29">
        <f>SUMIF($R$6:$R$199,"NRSP",$P$6:$P$199)</f>
        <v>0</v>
      </c>
      <c r="Q210" s="102">
        <f t="shared" si="40"/>
        <v>-100</v>
      </c>
      <c r="R210" s="31" t="s">
        <v>5</v>
      </c>
      <c r="S210" s="1">
        <v>1</v>
      </c>
    </row>
    <row r="211" spans="1:20" s="6" customFormat="1" ht="14.25" hidden="1">
      <c r="A211" s="22">
        <f>COUNTIF($R$6:$R$200,"PRSP")-4</f>
        <v>21</v>
      </c>
      <c r="B211" s="32" t="s">
        <v>228</v>
      </c>
      <c r="C211" s="29">
        <f>SUMIF($R$6:$R$199,"PRSP",C6:C199)</f>
        <v>1865</v>
      </c>
      <c r="D211" s="29">
        <f>SUMIF($R$6:$R$199,"PRSP",D6:D199)</f>
        <v>702</v>
      </c>
      <c r="E211" s="29">
        <f>SUMIF($R$6:$R$199,"PRSP",E6:E199)</f>
        <v>0</v>
      </c>
      <c r="F211" s="102">
        <f t="shared" si="41"/>
        <v>-100</v>
      </c>
      <c r="G211" s="102">
        <f t="shared" si="37"/>
        <v>0</v>
      </c>
      <c r="H211" s="29">
        <f>SUMIF($R$6:$R$199,"PRSP",H6:H199)</f>
        <v>5764</v>
      </c>
      <c r="I211" s="29">
        <f>SUMIF($R$6:$R$199,"PRSP",I6:I199)</f>
        <v>0</v>
      </c>
      <c r="J211" s="29">
        <f>SUMIF($R$6:$R$199,"pRSP",$J$6:$J$199)</f>
        <v>4326866.1652344316</v>
      </c>
      <c r="K211" s="29">
        <f>SUMIF($R$6:$R$199,"pRSP",$K$6:$K$199)</f>
        <v>1201260</v>
      </c>
      <c r="L211" s="29">
        <f>SUMIF($R$6:$R$199,"PRSP",$L$6:$L$199)</f>
        <v>0</v>
      </c>
      <c r="M211" s="102">
        <f t="shared" si="38"/>
        <v>-100</v>
      </c>
      <c r="N211" s="102">
        <f t="shared" si="39"/>
        <v>0</v>
      </c>
      <c r="O211" s="29">
        <f>SUMIF($R$6:$R$199,"pRSP",$O$6:$O$199)</f>
        <v>71696</v>
      </c>
      <c r="P211" s="29">
        <f>SUMIF($R$6:$R$199,"PRSP",$P$6:$P$199)</f>
        <v>0</v>
      </c>
      <c r="Q211" s="102">
        <f t="shared" si="40"/>
        <v>-100</v>
      </c>
      <c r="R211" s="31" t="s">
        <v>6</v>
      </c>
      <c r="S211" s="1">
        <v>1</v>
      </c>
      <c r="T211" s="157"/>
    </row>
    <row r="212" spans="1:20" s="6" customFormat="1" ht="14.25" hidden="1">
      <c r="A212" s="22">
        <f>COUNTIF($R$6:$R$200,"SGA")</f>
        <v>1</v>
      </c>
      <c r="B212" s="32" t="s">
        <v>214</v>
      </c>
      <c r="C212" s="29">
        <f>SUMIF($R$6:$R$199,"SGA",$C$6:$C$199)</f>
        <v>55</v>
      </c>
      <c r="D212" s="29">
        <f>SUMIF($R$6:$R$199,"SGA",$D$6:$D$199)</f>
        <v>13</v>
      </c>
      <c r="E212" s="29">
        <f>SUMIF($R$6:$R$199,"SGA",$E$6:$E$199)</f>
        <v>0</v>
      </c>
      <c r="F212" s="102">
        <f t="shared" si="41"/>
        <v>-100</v>
      </c>
      <c r="G212" s="102">
        <f t="shared" si="37"/>
        <v>0</v>
      </c>
      <c r="H212" s="29">
        <f>SUMIF($R$6:$R$199,"SGA",$H$6:$H$199)</f>
        <v>260</v>
      </c>
      <c r="I212" s="29">
        <f>SUMIF($R$6:$R$199,"SGA",$I$6:$I$199)</f>
        <v>0</v>
      </c>
      <c r="J212" s="29">
        <f>SUMIF($R$6:$R$199,"SGA",$J$6:$J$199)</f>
        <v>209191</v>
      </c>
      <c r="K212" s="29">
        <f>SUMIF($R$6:$R$199,"SGA",$K$6:$K$199)</f>
        <v>16500</v>
      </c>
      <c r="L212" s="29">
        <f>SUMIF($R$6:$R$199,"SGA",$L$6:$L$199)</f>
        <v>0</v>
      </c>
      <c r="M212" s="102">
        <f t="shared" si="38"/>
        <v>-100</v>
      </c>
      <c r="N212" s="102">
        <f t="shared" si="39"/>
        <v>0</v>
      </c>
      <c r="O212" s="29">
        <f>SUMIF($R$6:$R$199,"SGA",$O$6:$O$199)</f>
        <v>860</v>
      </c>
      <c r="P212" s="29">
        <f>SUMIF($R$6:$R$199,"SGA",$P$6:$P$199)</f>
        <v>0</v>
      </c>
      <c r="Q212" s="102">
        <f t="shared" si="40"/>
        <v>-100</v>
      </c>
      <c r="R212" s="31" t="s">
        <v>7</v>
      </c>
      <c r="S212" s="1">
        <v>1</v>
      </c>
    </row>
    <row r="213" spans="1:20" s="6" customFormat="1" ht="14.25" hidden="1">
      <c r="A213" s="22">
        <f>COUNTIF($R$6:$R$200,"SRSO")</f>
        <v>9</v>
      </c>
      <c r="B213" s="32" t="s">
        <v>215</v>
      </c>
      <c r="C213" s="29">
        <f>SUMIF($R$6:$R$199,"SRSO",$C$6:$C$199)</f>
        <v>431</v>
      </c>
      <c r="D213" s="29">
        <f>SUMIF($R$6:$R$199,"SRSO",$D$6:$D$199)</f>
        <v>338</v>
      </c>
      <c r="E213" s="29">
        <f>SUMIF($R$6:$R$199,"SRSO",$E$6:$E$199)</f>
        <v>0</v>
      </c>
      <c r="F213" s="102">
        <f t="shared" si="41"/>
        <v>-100</v>
      </c>
      <c r="G213" s="102">
        <f t="shared" si="37"/>
        <v>0</v>
      </c>
      <c r="H213" s="29">
        <f>SUMIF($R$6:$R$199,"SRSO",$H$6:$H$199)</f>
        <v>1875</v>
      </c>
      <c r="I213" s="29">
        <f>SUMIF($R$6:$R$199,"SRSO",$I$6:$I$199)</f>
        <v>0</v>
      </c>
      <c r="J213" s="29">
        <f>SUMIF($R$6:$R$199,"SRSO",$J$6:$J$199)</f>
        <v>1183970.1255411254</v>
      </c>
      <c r="K213" s="29">
        <f>SUMIF($R$6:$R$199,"SRSO",$K$6:$K$199)</f>
        <v>591729</v>
      </c>
      <c r="L213" s="29">
        <f>SUMIF($R$6:$R$199,"SRSO",$L$6:$L$199)</f>
        <v>0</v>
      </c>
      <c r="M213" s="102">
        <f t="shared" si="38"/>
        <v>-100</v>
      </c>
      <c r="N213" s="102">
        <f t="shared" si="39"/>
        <v>0</v>
      </c>
      <c r="O213" s="29">
        <f>SUMIF($R$6:$R$199,"SRSO",$O$6:$O$199)</f>
        <v>37065</v>
      </c>
      <c r="P213" s="29">
        <f>SUMIF($R$6:$R$199,"SRSO",$P$6:$P$199)</f>
        <v>0</v>
      </c>
      <c r="Q213" s="102">
        <f t="shared" si="40"/>
        <v>-100</v>
      </c>
      <c r="R213" s="31" t="s">
        <v>8</v>
      </c>
      <c r="S213" s="1">
        <v>1</v>
      </c>
    </row>
    <row r="214" spans="1:20" s="6" customFormat="1" ht="14.25">
      <c r="A214" s="22">
        <f>COUNTIF($R$6:$R$200,"SRSP")</f>
        <v>25</v>
      </c>
      <c r="B214" s="32" t="s">
        <v>216</v>
      </c>
      <c r="C214" s="29">
        <f>SUMIF($R$6:$R$199,"SRSP",$C$6:$C$199)</f>
        <v>934</v>
      </c>
      <c r="D214" s="29">
        <v>573</v>
      </c>
      <c r="E214" s="29">
        <f>SUMIF($R$6:$R$199,"SRSP",$E$6:$E$199)</f>
        <v>583</v>
      </c>
      <c r="F214" s="229">
        <f t="shared" si="41"/>
        <v>1.745200698080279</v>
      </c>
      <c r="G214" s="102">
        <f t="shared" si="37"/>
        <v>62.41970021413276</v>
      </c>
      <c r="H214" s="29">
        <f>SUMIF($R$6:$R$199,"SRSP",$H$6:$H$199)</f>
        <v>3211</v>
      </c>
      <c r="I214" s="29">
        <f>SUMIF($R$6:$R$199,"SRSP",$I$6:$I$199)</f>
        <v>3102</v>
      </c>
      <c r="J214" s="29">
        <f>SUMIF($R$6:$R$199,"SRSP",$J$6:$J$199)</f>
        <v>1843252.2259767302</v>
      </c>
      <c r="K214" s="29">
        <f>SUMIF($R$6:$R$199,"SRSP",$K$6:$K$199)</f>
        <v>669330</v>
      </c>
      <c r="L214" s="29">
        <f>SUMIF($R$6:$R$199,"SRSP",$L$6:$L$199)</f>
        <v>742056</v>
      </c>
      <c r="M214" s="102">
        <f t="shared" si="38"/>
        <v>10.865492358029671</v>
      </c>
      <c r="N214" s="102">
        <f t="shared" si="39"/>
        <v>40.257973897565115</v>
      </c>
      <c r="O214" s="29">
        <f>SUMIF($R$6:$R$199,"SRSP",$O$6:$O$199)</f>
        <v>28796</v>
      </c>
      <c r="P214" s="29">
        <f>SUMIF($R$6:$R$199,"SRSP",$P$6:$P$199)</f>
        <v>30568</v>
      </c>
      <c r="Q214" s="102">
        <f t="shared" si="40"/>
        <v>6.1536324489512433</v>
      </c>
      <c r="R214" s="31" t="s">
        <v>9</v>
      </c>
      <c r="S214" s="1">
        <v>1</v>
      </c>
      <c r="T214" s="86"/>
    </row>
    <row r="215" spans="1:20" s="6" customFormat="1" ht="14.25" hidden="1">
      <c r="A215" s="36">
        <f>COUNTIF($R$6:$R$200,"TRDP")</f>
        <v>4</v>
      </c>
      <c r="B215" s="142" t="s">
        <v>217</v>
      </c>
      <c r="C215" s="39">
        <f>SUMIF($R$6:$R$199,"TRDP",$C$6:$C$199)</f>
        <v>151</v>
      </c>
      <c r="D215" s="39">
        <f>SUMIF($R$6:$R$199,"TRDP",$D$6:$D$199)</f>
        <v>113</v>
      </c>
      <c r="E215" s="39">
        <f>SUMIF($R$6:$R$199,"TRDP",$E$6:$E$199)</f>
        <v>0</v>
      </c>
      <c r="F215" s="134">
        <f t="shared" si="41"/>
        <v>-100.00000000000001</v>
      </c>
      <c r="G215" s="134">
        <f t="shared" si="37"/>
        <v>0</v>
      </c>
      <c r="H215" s="39">
        <f>SUMIF($R$6:$R$199,"TRDP",$H$6:$H$199)</f>
        <v>561</v>
      </c>
      <c r="I215" s="39">
        <f>SUMIF($R$6:$R$199,"TRDP",$I$6:$I$199)</f>
        <v>0</v>
      </c>
      <c r="J215" s="39">
        <f>SUMIF($R$6:$R$199,"TRDP",$J$6:$J$199)</f>
        <v>519666</v>
      </c>
      <c r="K215" s="39">
        <f>SUMIF($R$6:$R$199,"TRDP",$K$6:$K$199)</f>
        <v>268858</v>
      </c>
      <c r="L215" s="39">
        <f>SUMIF($R$6:$R$199,"TRDP",$L$6:$L$199)</f>
        <v>0</v>
      </c>
      <c r="M215" s="134">
        <f t="shared" si="38"/>
        <v>-100</v>
      </c>
      <c r="N215" s="134">
        <f t="shared" si="39"/>
        <v>0</v>
      </c>
      <c r="O215" s="39">
        <f>SUMIF($R$6:$R$199,"TRDP",$O$6:$O$199)</f>
        <v>16364</v>
      </c>
      <c r="P215" s="39">
        <f>SUMIF($R$6:$R$199,"TRDP",$P$6:$P$199)</f>
        <v>0</v>
      </c>
      <c r="Q215" s="134">
        <f t="shared" si="40"/>
        <v>-100.00000000000001</v>
      </c>
      <c r="R215" s="41" t="s">
        <v>10</v>
      </c>
      <c r="S215" s="1">
        <v>1</v>
      </c>
    </row>
    <row r="216" spans="1:20" s="7" customFormat="1" ht="15.75" hidden="1" thickBot="1">
      <c r="A216" s="150">
        <f>SUM(A206:A215)-26</f>
        <v>119</v>
      </c>
      <c r="B216" s="149" t="s">
        <v>159</v>
      </c>
      <c r="C216" s="141">
        <f>C228</f>
        <v>5578</v>
      </c>
      <c r="D216" s="141">
        <f>D228</f>
        <v>3605</v>
      </c>
      <c r="E216" s="141">
        <f>E228</f>
        <v>638</v>
      </c>
      <c r="F216" s="151">
        <f t="shared" si="41"/>
        <v>-82.30235783633843</v>
      </c>
      <c r="G216" s="151">
        <f t="shared" si="37"/>
        <v>11.437791323054858</v>
      </c>
      <c r="H216" s="56">
        <f>SUM(H206:H215)</f>
        <v>29078</v>
      </c>
      <c r="I216" s="56">
        <f>SUM(I206:I215)</f>
        <v>4699</v>
      </c>
      <c r="J216" s="141">
        <f>J228</f>
        <v>12479974.528189642</v>
      </c>
      <c r="K216" s="56">
        <f>SUM(K206:K215)</f>
        <v>5521627</v>
      </c>
      <c r="L216" s="56">
        <f>SUM(L206:L215)</f>
        <v>1094135</v>
      </c>
      <c r="M216" s="151">
        <f t="shared" si="38"/>
        <v>-80.184554298941237</v>
      </c>
      <c r="N216" s="151">
        <f t="shared" si="39"/>
        <v>8.7671252655891152</v>
      </c>
      <c r="O216" s="56">
        <f>SUM(O206:O215)</f>
        <v>332106</v>
      </c>
      <c r="P216" s="56">
        <f>SUM(P206:P215)</f>
        <v>38702</v>
      </c>
      <c r="Q216" s="151">
        <f t="shared" si="40"/>
        <v>-88.346491782744067</v>
      </c>
      <c r="R216" s="140"/>
      <c r="S216" s="1">
        <v>1</v>
      </c>
    </row>
    <row r="217" spans="1:20" s="7" customFormat="1" ht="26.25" hidden="1" customHeight="1">
      <c r="A217" s="119" t="s">
        <v>229</v>
      </c>
      <c r="B217" s="48"/>
      <c r="C217" s="34"/>
      <c r="D217" s="34"/>
      <c r="E217" s="34"/>
      <c r="F217" s="106"/>
      <c r="G217" s="106"/>
      <c r="H217" s="106"/>
      <c r="I217" s="106"/>
      <c r="J217" s="34"/>
      <c r="K217" s="34"/>
      <c r="L217" s="34"/>
      <c r="M217" s="34"/>
      <c r="N217" s="34"/>
      <c r="O217" s="34"/>
      <c r="P217" s="34"/>
      <c r="Q217" s="34"/>
      <c r="R217" s="80"/>
      <c r="S217" s="1">
        <v>1</v>
      </c>
    </row>
    <row r="218" spans="1:20" ht="18" hidden="1" customHeight="1" thickBot="1">
      <c r="A218" s="81" t="s">
        <v>201</v>
      </c>
      <c r="B218" s="13"/>
      <c r="C218" s="58"/>
      <c r="D218" s="27"/>
      <c r="E218" s="27"/>
      <c r="F218" s="103"/>
      <c r="G218" s="103"/>
      <c r="H218" s="103"/>
      <c r="I218" s="103"/>
      <c r="J218" s="58"/>
      <c r="K218" s="58"/>
      <c r="L218" s="58"/>
      <c r="M218" s="58"/>
      <c r="N218" s="58"/>
      <c r="O218" s="58"/>
      <c r="P218" s="58"/>
      <c r="Q218" s="58"/>
      <c r="R218" s="14"/>
      <c r="S218" s="1">
        <v>1</v>
      </c>
    </row>
    <row r="219" spans="1:20" ht="127.5" hidden="1">
      <c r="A219" s="83" t="s">
        <v>221</v>
      </c>
      <c r="B219" s="96" t="s">
        <v>203</v>
      </c>
      <c r="C219" s="52"/>
      <c r="D219" s="100"/>
      <c r="E219" s="100"/>
      <c r="F219" s="107"/>
      <c r="G219" s="107"/>
      <c r="H219" s="107"/>
      <c r="I219" s="107"/>
      <c r="J219" s="52"/>
      <c r="K219" s="52"/>
      <c r="L219" s="52"/>
      <c r="M219" s="52"/>
      <c r="N219" s="52"/>
      <c r="O219" s="54"/>
      <c r="P219" s="54"/>
      <c r="Q219" s="54"/>
      <c r="R219" s="97" t="s">
        <v>222</v>
      </c>
      <c r="S219" s="1">
        <v>1</v>
      </c>
    </row>
    <row r="220" spans="1:20" ht="14.25" hidden="1">
      <c r="A220" s="22">
        <f>A7</f>
        <v>1</v>
      </c>
      <c r="B220" s="32" t="s">
        <v>286</v>
      </c>
      <c r="C220" s="24">
        <f>C7</f>
        <v>12</v>
      </c>
      <c r="D220" s="24">
        <f>D7</f>
        <v>12</v>
      </c>
      <c r="E220" s="24">
        <f>E7</f>
        <v>0</v>
      </c>
      <c r="F220" s="102">
        <f>(E220-D220)/D220%</f>
        <v>-100</v>
      </c>
      <c r="G220" s="102">
        <f t="shared" ref="G220:G228" si="42">E220/C220%</f>
        <v>0</v>
      </c>
      <c r="H220" s="24">
        <f>H7</f>
        <v>722</v>
      </c>
      <c r="I220" s="24">
        <f>I7</f>
        <v>0</v>
      </c>
      <c r="J220" s="24">
        <f>J7</f>
        <v>43884</v>
      </c>
      <c r="K220" s="24">
        <f>K7</f>
        <v>26254</v>
      </c>
      <c r="L220" s="24">
        <f>L7</f>
        <v>0</v>
      </c>
      <c r="M220" s="102">
        <f t="shared" ref="M220:M228" si="43">(L220-K220)/K220%</f>
        <v>-99.999999999999986</v>
      </c>
      <c r="N220" s="102">
        <f t="shared" ref="N220:N228" si="44">L220/J220%</f>
        <v>0</v>
      </c>
      <c r="O220" s="24">
        <f>O7</f>
        <v>1597</v>
      </c>
      <c r="P220" s="24">
        <f>P7</f>
        <v>0</v>
      </c>
      <c r="Q220" s="102">
        <f t="shared" ref="Q220:Q228" si="45">(P220-O220)/O220%</f>
        <v>-100</v>
      </c>
      <c r="R220" s="79">
        <f>A7</f>
        <v>1</v>
      </c>
      <c r="S220" s="1">
        <v>1</v>
      </c>
    </row>
    <row r="221" spans="1:20" ht="14.25" hidden="1">
      <c r="A221" s="22">
        <f>A40</f>
        <v>19</v>
      </c>
      <c r="B221" s="32" t="s">
        <v>161</v>
      </c>
      <c r="C221" s="24">
        <f>C40</f>
        <v>547</v>
      </c>
      <c r="D221" s="24">
        <f>D40</f>
        <v>279</v>
      </c>
      <c r="E221" s="24">
        <f>E40</f>
        <v>0</v>
      </c>
      <c r="F221" s="102">
        <f t="shared" ref="F221:F228" si="46">(E221-D221)/D221%</f>
        <v>-100</v>
      </c>
      <c r="G221" s="102">
        <f t="shared" si="42"/>
        <v>0</v>
      </c>
      <c r="H221" s="24">
        <f>H40</f>
        <v>2362</v>
      </c>
      <c r="I221" s="24">
        <f>I40</f>
        <v>0</v>
      </c>
      <c r="J221" s="24">
        <f>J40</f>
        <v>814191</v>
      </c>
      <c r="K221" s="24">
        <f>K40</f>
        <v>288634</v>
      </c>
      <c r="L221" s="24">
        <f>L40</f>
        <v>0</v>
      </c>
      <c r="M221" s="102">
        <f t="shared" si="43"/>
        <v>-100</v>
      </c>
      <c r="N221" s="102">
        <f t="shared" si="44"/>
        <v>0</v>
      </c>
      <c r="O221" s="24">
        <f>O40</f>
        <v>16518</v>
      </c>
      <c r="P221" s="24">
        <f>P40</f>
        <v>0</v>
      </c>
      <c r="Q221" s="102">
        <f t="shared" si="45"/>
        <v>-100</v>
      </c>
      <c r="R221" s="78">
        <f>A39</f>
        <v>30</v>
      </c>
      <c r="S221" s="1">
        <v>1</v>
      </c>
    </row>
    <row r="222" spans="1:20" ht="14.25" hidden="1">
      <c r="A222" s="22">
        <f>A77</f>
        <v>22</v>
      </c>
      <c r="B222" s="32" t="s">
        <v>209</v>
      </c>
      <c r="C222" s="24">
        <f>C77</f>
        <v>974</v>
      </c>
      <c r="D222" s="24">
        <f>D77</f>
        <v>564</v>
      </c>
      <c r="E222" s="24">
        <f>E77</f>
        <v>415</v>
      </c>
      <c r="F222" s="102">
        <f t="shared" si="46"/>
        <v>-26.418439716312058</v>
      </c>
      <c r="G222" s="102">
        <f t="shared" si="42"/>
        <v>42.607802874743328</v>
      </c>
      <c r="H222" s="24">
        <f>H77</f>
        <v>5137</v>
      </c>
      <c r="I222" s="24">
        <f>I77</f>
        <v>3357</v>
      </c>
      <c r="J222" s="24">
        <f>J77</f>
        <v>1889904</v>
      </c>
      <c r="K222" s="24">
        <f>K77</f>
        <v>854588</v>
      </c>
      <c r="L222" s="24">
        <f>L77</f>
        <v>906674</v>
      </c>
      <c r="M222" s="102">
        <f t="shared" si="43"/>
        <v>6.0948667662078106</v>
      </c>
      <c r="N222" s="102">
        <f t="shared" si="44"/>
        <v>47.974606117559411</v>
      </c>
      <c r="O222" s="24">
        <f>O77</f>
        <v>39117</v>
      </c>
      <c r="P222" s="24">
        <f>P77</f>
        <v>30166</v>
      </c>
      <c r="Q222" s="102">
        <f t="shared" si="45"/>
        <v>-22.882634148835542</v>
      </c>
      <c r="R222" s="79">
        <f>A76</f>
        <v>24</v>
      </c>
      <c r="S222" s="1">
        <v>1</v>
      </c>
    </row>
    <row r="223" spans="1:20" ht="14.25" hidden="1">
      <c r="A223" s="22">
        <f>A103</f>
        <v>22</v>
      </c>
      <c r="B223" s="32" t="s">
        <v>162</v>
      </c>
      <c r="C223" s="24">
        <f>C103</f>
        <v>921</v>
      </c>
      <c r="D223" s="24">
        <f>D103</f>
        <v>690</v>
      </c>
      <c r="E223" s="24">
        <f>E103</f>
        <v>0</v>
      </c>
      <c r="F223" s="102">
        <f t="shared" si="46"/>
        <v>-100</v>
      </c>
      <c r="G223" s="102">
        <f t="shared" si="42"/>
        <v>0</v>
      </c>
      <c r="H223" s="24">
        <f>H103</f>
        <v>3953</v>
      </c>
      <c r="I223" s="24">
        <f>I103</f>
        <v>0</v>
      </c>
      <c r="J223" s="24">
        <f>J103</f>
        <v>2816903.1255411254</v>
      </c>
      <c r="K223" s="24">
        <f>K103</f>
        <v>1163338</v>
      </c>
      <c r="L223" s="24">
        <f>L103</f>
        <v>0</v>
      </c>
      <c r="M223" s="102">
        <f t="shared" si="43"/>
        <v>-100</v>
      </c>
      <c r="N223" s="102">
        <f t="shared" si="44"/>
        <v>0</v>
      </c>
      <c r="O223" s="24">
        <f>O103</f>
        <v>71780</v>
      </c>
      <c r="P223" s="24">
        <f>P103</f>
        <v>0</v>
      </c>
      <c r="Q223" s="102">
        <f t="shared" si="45"/>
        <v>-100</v>
      </c>
      <c r="R223" s="79">
        <f>A102</f>
        <v>23</v>
      </c>
      <c r="S223" s="1">
        <v>1</v>
      </c>
    </row>
    <row r="224" spans="1:20" ht="14.25" hidden="1">
      <c r="A224" s="22">
        <f>A155</f>
        <v>34</v>
      </c>
      <c r="B224" s="32" t="s">
        <v>163</v>
      </c>
      <c r="C224" s="24">
        <f>C155</f>
        <v>2635</v>
      </c>
      <c r="D224" s="24">
        <f>D155</f>
        <v>1771</v>
      </c>
      <c r="E224" s="24">
        <f>E155</f>
        <v>0</v>
      </c>
      <c r="F224" s="102">
        <f t="shared" si="46"/>
        <v>-100</v>
      </c>
      <c r="G224" s="102">
        <f t="shared" si="42"/>
        <v>0</v>
      </c>
      <c r="H224" s="24">
        <f>H155</f>
        <v>14533</v>
      </c>
      <c r="I224" s="24">
        <f>I155</f>
        <v>0</v>
      </c>
      <c r="J224" s="24">
        <f>J155</f>
        <v>6063823.2431565113</v>
      </c>
      <c r="K224" s="24">
        <f>K155</f>
        <v>2832633</v>
      </c>
      <c r="L224" s="24">
        <f>L155</f>
        <v>0</v>
      </c>
      <c r="M224" s="102">
        <f t="shared" si="43"/>
        <v>-100</v>
      </c>
      <c r="N224" s="102">
        <f t="shared" si="44"/>
        <v>0</v>
      </c>
      <c r="O224" s="24">
        <f>O155</f>
        <v>185520</v>
      </c>
      <c r="P224" s="24">
        <f>P155</f>
        <v>0</v>
      </c>
      <c r="Q224" s="102">
        <f t="shared" si="45"/>
        <v>-100</v>
      </c>
      <c r="R224" s="79">
        <f>A154</f>
        <v>36</v>
      </c>
      <c r="S224" s="1">
        <v>1</v>
      </c>
    </row>
    <row r="225" spans="1:19" ht="14.25" hidden="1">
      <c r="A225" s="22">
        <f>A174</f>
        <v>10</v>
      </c>
      <c r="B225" s="32" t="s">
        <v>273</v>
      </c>
      <c r="C225" s="24">
        <f>C174</f>
        <v>196</v>
      </c>
      <c r="D225" s="24">
        <f>D174</f>
        <v>180</v>
      </c>
      <c r="E225" s="24">
        <f>E174</f>
        <v>114</v>
      </c>
      <c r="F225" s="102">
        <f t="shared" si="46"/>
        <v>-36.666666666666664</v>
      </c>
      <c r="G225" s="102">
        <f t="shared" si="42"/>
        <v>58.163265306122447</v>
      </c>
      <c r="H225" s="24">
        <f>H174</f>
        <v>1885</v>
      </c>
      <c r="I225" s="24">
        <f>I174</f>
        <v>622</v>
      </c>
      <c r="J225" s="24">
        <f>J174</f>
        <v>398969.65165781637</v>
      </c>
      <c r="K225" s="24">
        <f>K174</f>
        <v>274221</v>
      </c>
      <c r="L225" s="24">
        <f>L174</f>
        <v>102320</v>
      </c>
      <c r="M225" s="102">
        <f t="shared" si="43"/>
        <v>-62.687029804427816</v>
      </c>
      <c r="N225" s="102">
        <f t="shared" si="44"/>
        <v>25.646060940935079</v>
      </c>
      <c r="O225" s="24">
        <f>O174</f>
        <v>13823</v>
      </c>
      <c r="P225" s="24">
        <f>P174</f>
        <v>4750</v>
      </c>
      <c r="Q225" s="102">
        <f t="shared" si="45"/>
        <v>-65.636981841857775</v>
      </c>
      <c r="R225" s="79">
        <f>A173</f>
        <v>10</v>
      </c>
      <c r="S225" s="1">
        <v>1</v>
      </c>
    </row>
    <row r="226" spans="1:19" ht="14.25" hidden="1">
      <c r="A226" s="22">
        <f>A184</f>
        <v>6</v>
      </c>
      <c r="B226" s="32" t="s">
        <v>210</v>
      </c>
      <c r="C226" s="24">
        <f>C184</f>
        <v>103</v>
      </c>
      <c r="D226" s="24">
        <f>D184</f>
        <v>94</v>
      </c>
      <c r="E226" s="24">
        <f>E184</f>
        <v>94</v>
      </c>
      <c r="F226" s="102">
        <f t="shared" si="46"/>
        <v>0</v>
      </c>
      <c r="G226" s="102">
        <f t="shared" si="42"/>
        <v>91.262135922330089</v>
      </c>
      <c r="H226" s="24">
        <f>H184</f>
        <v>486</v>
      </c>
      <c r="I226" s="24">
        <f>I184</f>
        <v>486</v>
      </c>
      <c r="J226" s="24">
        <f>J184</f>
        <v>108649.83396348439</v>
      </c>
      <c r="K226" s="24">
        <f>K184</f>
        <v>75781</v>
      </c>
      <c r="L226" s="24">
        <f>L184</f>
        <v>75781</v>
      </c>
      <c r="M226" s="102">
        <f t="shared" si="43"/>
        <v>0</v>
      </c>
      <c r="N226" s="102">
        <f t="shared" si="44"/>
        <v>69.747920669136846</v>
      </c>
      <c r="O226" s="24">
        <f>O184</f>
        <v>3384</v>
      </c>
      <c r="P226" s="24">
        <f>P184</f>
        <v>3384</v>
      </c>
      <c r="Q226" s="102">
        <f t="shared" si="45"/>
        <v>0</v>
      </c>
      <c r="R226" s="79">
        <f>A183</f>
        <v>7</v>
      </c>
      <c r="S226" s="1">
        <v>1</v>
      </c>
    </row>
    <row r="227" spans="1:19" ht="14.25" hidden="1">
      <c r="A227" s="36">
        <f>A200</f>
        <v>5</v>
      </c>
      <c r="B227" s="142" t="s">
        <v>296</v>
      </c>
      <c r="C227" s="38">
        <f>C200</f>
        <v>190</v>
      </c>
      <c r="D227" s="38">
        <f>D200</f>
        <v>15</v>
      </c>
      <c r="E227" s="38">
        <f>E200</f>
        <v>15</v>
      </c>
      <c r="F227" s="134">
        <f t="shared" si="46"/>
        <v>0</v>
      </c>
      <c r="G227" s="134">
        <f t="shared" si="42"/>
        <v>7.8947368421052637</v>
      </c>
      <c r="H227" s="38">
        <f>H200</f>
        <v>0</v>
      </c>
      <c r="I227" s="38">
        <f>I200</f>
        <v>0</v>
      </c>
      <c r="J227" s="38">
        <f>J200</f>
        <v>343649.6738707067</v>
      </c>
      <c r="K227" s="38">
        <f>K200</f>
        <v>7928</v>
      </c>
      <c r="L227" s="38">
        <f>L200</f>
        <v>9360</v>
      </c>
      <c r="M227" s="134">
        <f t="shared" si="43"/>
        <v>18.062563067608476</v>
      </c>
      <c r="N227" s="134">
        <f t="shared" si="44"/>
        <v>2.7237040252572937</v>
      </c>
      <c r="O227" s="38">
        <f>O200</f>
        <v>367</v>
      </c>
      <c r="P227" s="38">
        <f>P200</f>
        <v>402</v>
      </c>
      <c r="Q227" s="134">
        <f t="shared" si="45"/>
        <v>9.5367847411444142</v>
      </c>
      <c r="R227" s="88">
        <f>A199</f>
        <v>13</v>
      </c>
      <c r="S227" s="1">
        <v>1</v>
      </c>
    </row>
    <row r="228" spans="1:19" s="4" customFormat="1" ht="15.75" hidden="1" thickBot="1">
      <c r="A228" s="150">
        <f>SUM(A220:A227)</f>
        <v>119</v>
      </c>
      <c r="B228" s="139" t="s">
        <v>204</v>
      </c>
      <c r="C228" s="56">
        <f>SUM(C220:C227)</f>
        <v>5578</v>
      </c>
      <c r="D228" s="56">
        <f>SUM(D220:D227)</f>
        <v>3605</v>
      </c>
      <c r="E228" s="56">
        <f>SUM(E220:E227)</f>
        <v>638</v>
      </c>
      <c r="F228" s="151">
        <f t="shared" si="46"/>
        <v>-82.30235783633843</v>
      </c>
      <c r="G228" s="151">
        <f t="shared" si="42"/>
        <v>11.437791323054858</v>
      </c>
      <c r="H228" s="56">
        <f>SUM(H220:H227)</f>
        <v>29078</v>
      </c>
      <c r="I228" s="56">
        <f>SUM(I220:I227)</f>
        <v>4465</v>
      </c>
      <c r="J228" s="56">
        <f>SUM(J220:J227)</f>
        <v>12479974.528189642</v>
      </c>
      <c r="K228" s="56">
        <f>SUM(K220:K227)</f>
        <v>5523377</v>
      </c>
      <c r="L228" s="56">
        <f>SUM(L220:L227)</f>
        <v>1094135</v>
      </c>
      <c r="M228" s="151">
        <f t="shared" si="43"/>
        <v>-80.190832528722922</v>
      </c>
      <c r="N228" s="151">
        <f t="shared" si="44"/>
        <v>8.7671252655891152</v>
      </c>
      <c r="O228" s="56">
        <f>SUM(O220:O227)</f>
        <v>332106</v>
      </c>
      <c r="P228" s="56">
        <f>SUM(P220:P227)</f>
        <v>38702</v>
      </c>
      <c r="Q228" s="151">
        <f t="shared" si="45"/>
        <v>-88.346491782744067</v>
      </c>
      <c r="R228" s="132">
        <f>SUM(R220:R227)</f>
        <v>144</v>
      </c>
      <c r="S228" s="1">
        <v>1</v>
      </c>
    </row>
    <row r="229" spans="1:19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1:19">
      <c r="D230" s="8"/>
      <c r="E230" s="239"/>
      <c r="F230" s="8"/>
      <c r="G230" s="8"/>
      <c r="H230" s="8"/>
      <c r="I230" s="8"/>
      <c r="J230" s="240"/>
      <c r="L230" s="11">
        <f>L214-'[8]2. Overall cum progress March14'!K14</f>
        <v>0</v>
      </c>
      <c r="P230" s="11">
        <f>P214-'[8]2. Overall cum progress March14'!K11</f>
        <v>0</v>
      </c>
    </row>
    <row r="231" spans="1:19">
      <c r="C231" s="8"/>
      <c r="D231" s="8"/>
      <c r="E231" s="8"/>
      <c r="F231" s="8"/>
      <c r="G231" s="8"/>
      <c r="H231" s="8"/>
      <c r="I231" s="8"/>
      <c r="J231" s="240"/>
    </row>
    <row r="232" spans="1:19">
      <c r="B232" s="10"/>
      <c r="H232" s="3"/>
      <c r="I232" s="3"/>
    </row>
    <row r="233" spans="1:19">
      <c r="H233" s="3"/>
      <c r="I233" s="3"/>
    </row>
    <row r="234" spans="1:19">
      <c r="H234" s="3"/>
      <c r="I234" s="3"/>
    </row>
    <row r="235" spans="1:19">
      <c r="H235" s="3"/>
      <c r="I235" s="3"/>
    </row>
    <row r="236" spans="1:19">
      <c r="H236" s="3"/>
      <c r="I236" s="3"/>
    </row>
    <row r="237" spans="1:19">
      <c r="H237" s="3"/>
      <c r="I237" s="3"/>
    </row>
    <row r="238" spans="1:19">
      <c r="H238" s="3"/>
      <c r="I238" s="3"/>
    </row>
    <row r="239" spans="1:19">
      <c r="H239" s="3"/>
      <c r="I239" s="3"/>
    </row>
    <row r="240" spans="1:19">
      <c r="H240" s="3"/>
      <c r="I240" s="3"/>
    </row>
    <row r="241" spans="8:13">
      <c r="H241" s="3"/>
      <c r="I241" s="3"/>
    </row>
    <row r="242" spans="8:13">
      <c r="H242" s="3"/>
      <c r="I242" s="3"/>
    </row>
    <row r="243" spans="8:13">
      <c r="H243" s="3"/>
      <c r="I243" s="3"/>
    </row>
    <row r="244" spans="8:13">
      <c r="H244" s="3"/>
      <c r="I244" s="3"/>
    </row>
    <row r="245" spans="8:13">
      <c r="H245" s="3"/>
      <c r="I245" s="3"/>
    </row>
    <row r="246" spans="8:13">
      <c r="H246" s="3"/>
      <c r="I246" s="3"/>
    </row>
    <row r="247" spans="8:13">
      <c r="H247" s="3"/>
      <c r="I247" s="3"/>
    </row>
    <row r="251" spans="8:13">
      <c r="M251" s="27"/>
    </row>
    <row r="252" spans="8:13">
      <c r="M252" s="27"/>
    </row>
    <row r="253" spans="8:13">
      <c r="M253" s="27"/>
    </row>
    <row r="254" spans="8:13">
      <c r="M254" s="27"/>
    </row>
    <row r="255" spans="8:13">
      <c r="M255" s="27"/>
    </row>
    <row r="256" spans="8:13">
      <c r="M256" s="27"/>
    </row>
    <row r="257" spans="13:13">
      <c r="M257" s="27"/>
    </row>
    <row r="258" spans="13:13">
      <c r="M258" s="27"/>
    </row>
    <row r="259" spans="13:13">
      <c r="M259" s="27"/>
    </row>
  </sheetData>
  <autoFilter ref="A42:T228">
    <filterColumn colId="17">
      <filters>
        <filter val="SRSP"/>
      </filters>
    </filterColumn>
  </autoFilter>
  <mergeCells count="11">
    <mergeCell ref="R2:R3"/>
    <mergeCell ref="A1:R1"/>
    <mergeCell ref="A2:A3"/>
    <mergeCell ref="B2:B3"/>
    <mergeCell ref="C2:C3"/>
    <mergeCell ref="D2:G2"/>
    <mergeCell ref="H2:H3"/>
    <mergeCell ref="I2:I3"/>
    <mergeCell ref="J2:J3"/>
    <mergeCell ref="K2:N2"/>
    <mergeCell ref="O2:Q2"/>
  </mergeCells>
  <pageMargins left="1.1599999999999999" right="0.16" top="0.2" bottom="0.18" header="0.17" footer="0.16"/>
  <pageSetup paperSize="9" scale="46" orientation="landscape" r:id="rId1"/>
  <headerFooter alignWithMargins="0"/>
  <rowBreaks count="6" manualBreakCount="6">
    <brk id="40" max="16383" man="1"/>
    <brk id="78" max="16383" man="1"/>
    <brk id="103" max="16383" man="1"/>
    <brk id="155" max="16383" man="1"/>
    <brk id="184" max="16383" man="1"/>
    <brk id="202" max="16383" man="1"/>
  </rowBreaks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AG46"/>
  <sheetViews>
    <sheetView workbookViewId="0">
      <pane xSplit="2" ySplit="3" topLeftCell="C32" activePane="bottomRight" state="frozen"/>
      <selection activeCell="B27" sqref="B27"/>
      <selection pane="topRight" activeCell="B27" sqref="B27"/>
      <selection pane="bottomLeft" activeCell="B27" sqref="B27"/>
      <selection pane="bottomRight" activeCell="A41" sqref="A41:A43"/>
    </sheetView>
  </sheetViews>
  <sheetFormatPr defaultRowHeight="15"/>
  <cols>
    <col min="1" max="1" width="35.42578125" style="172" customWidth="1"/>
    <col min="2" max="2" width="25.5703125" style="172" customWidth="1"/>
    <col min="3" max="3" width="18.140625" style="172" customWidth="1"/>
    <col min="4" max="4" width="16.28515625" style="172" customWidth="1"/>
    <col min="5" max="5" width="12.140625" style="172" customWidth="1"/>
    <col min="6" max="6" width="16.140625" style="172" customWidth="1"/>
    <col min="7" max="7" width="13.42578125" style="172" customWidth="1"/>
    <col min="8" max="8" width="12.85546875" style="172" customWidth="1"/>
    <col min="9" max="9" width="13.85546875" style="172" customWidth="1"/>
    <col min="10" max="10" width="12.85546875" style="172" customWidth="1"/>
    <col min="11" max="11" width="16.7109375" style="172" customWidth="1"/>
    <col min="12" max="12" width="16.5703125" style="172" customWidth="1"/>
    <col min="13" max="13" width="13.140625" style="172" customWidth="1"/>
    <col min="14" max="14" width="16.28515625" style="172" customWidth="1"/>
    <col min="15" max="15" width="15.7109375" style="172" customWidth="1"/>
    <col min="16" max="16" width="16.7109375" style="172" customWidth="1"/>
    <col min="17" max="17" width="16.28515625" style="172" customWidth="1"/>
    <col min="18" max="18" width="17.28515625" style="172" customWidth="1"/>
    <col min="19" max="19" width="17.5703125" style="172" customWidth="1"/>
    <col min="20" max="20" width="15.7109375" style="172" customWidth="1"/>
    <col min="21" max="21" width="17.7109375" style="172" customWidth="1"/>
    <col min="22" max="22" width="18.140625" style="172" customWidth="1"/>
    <col min="23" max="23" width="16.28515625" style="172" customWidth="1"/>
    <col min="24" max="24" width="19.140625" style="172" customWidth="1"/>
    <col min="25" max="26" width="13.85546875" style="172" customWidth="1"/>
    <col min="27" max="27" width="12.140625" style="172" customWidth="1"/>
    <col min="28" max="28" width="13.5703125" style="172" customWidth="1"/>
    <col min="29" max="29" width="14.5703125" style="172" customWidth="1"/>
    <col min="30" max="30" width="13.140625" style="172" customWidth="1"/>
    <col min="31" max="31" width="12.42578125" style="172" customWidth="1"/>
    <col min="32" max="32" width="14" style="172" customWidth="1"/>
    <col min="33" max="16384" width="9.140625" style="172"/>
  </cols>
  <sheetData>
    <row r="1" spans="1:33" ht="15.75">
      <c r="A1" s="170" t="s">
        <v>247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</row>
    <row r="2" spans="1:33" ht="15.75">
      <c r="A2" s="170" t="s">
        <v>300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</row>
    <row r="3" spans="1:33">
      <c r="A3" s="286" t="s">
        <v>0</v>
      </c>
      <c r="B3" s="286"/>
      <c r="C3" s="173">
        <v>30651</v>
      </c>
      <c r="D3" s="173">
        <v>31017</v>
      </c>
      <c r="E3" s="173">
        <v>31382</v>
      </c>
      <c r="F3" s="173">
        <v>31747</v>
      </c>
      <c r="G3" s="173">
        <v>32112</v>
      </c>
      <c r="H3" s="173">
        <v>32478</v>
      </c>
      <c r="I3" s="173">
        <v>32843</v>
      </c>
      <c r="J3" s="173">
        <v>33208</v>
      </c>
      <c r="K3" s="173">
        <v>33573</v>
      </c>
      <c r="L3" s="173">
        <v>33939</v>
      </c>
      <c r="M3" s="173">
        <v>34304</v>
      </c>
      <c r="N3" s="173">
        <v>34669</v>
      </c>
      <c r="O3" s="173">
        <v>35034</v>
      </c>
      <c r="P3" s="173">
        <v>35400</v>
      </c>
      <c r="Q3" s="173">
        <v>35765</v>
      </c>
      <c r="R3" s="173">
        <v>36130</v>
      </c>
      <c r="S3" s="173">
        <v>36495</v>
      </c>
      <c r="T3" s="173">
        <v>36861</v>
      </c>
      <c r="U3" s="173">
        <v>37226</v>
      </c>
      <c r="V3" s="173">
        <v>37591</v>
      </c>
      <c r="W3" s="173">
        <v>37956</v>
      </c>
      <c r="X3" s="173">
        <v>38322</v>
      </c>
      <c r="Y3" s="173">
        <v>38687</v>
      </c>
      <c r="Z3" s="173">
        <v>39052</v>
      </c>
      <c r="AA3" s="173">
        <v>39417</v>
      </c>
      <c r="AB3" s="173">
        <v>39783</v>
      </c>
      <c r="AC3" s="173">
        <v>40148</v>
      </c>
      <c r="AD3" s="173">
        <v>40513</v>
      </c>
      <c r="AE3" s="173">
        <v>40878</v>
      </c>
      <c r="AF3" s="173">
        <v>41244</v>
      </c>
      <c r="AG3" s="173">
        <v>41639</v>
      </c>
    </row>
    <row r="4" spans="1:33">
      <c r="A4" s="174" t="s">
        <v>248</v>
      </c>
      <c r="B4" s="175"/>
      <c r="C4" s="176">
        <v>2</v>
      </c>
      <c r="D4" s="176">
        <v>3</v>
      </c>
      <c r="E4" s="176">
        <v>5</v>
      </c>
      <c r="F4" s="176">
        <v>5</v>
      </c>
      <c r="G4" s="176">
        <v>5</v>
      </c>
      <c r="H4" s="176">
        <v>5</v>
      </c>
      <c r="I4" s="176">
        <v>5</v>
      </c>
      <c r="J4" s="176">
        <v>7</v>
      </c>
      <c r="K4" s="176">
        <v>7</v>
      </c>
      <c r="L4" s="176">
        <v>7</v>
      </c>
      <c r="M4" s="176">
        <v>18</v>
      </c>
      <c r="N4" s="176">
        <v>18</v>
      </c>
      <c r="O4" s="176">
        <v>19</v>
      </c>
      <c r="P4" s="176">
        <v>22</v>
      </c>
      <c r="Q4" s="176">
        <v>29</v>
      </c>
      <c r="R4" s="176">
        <v>35</v>
      </c>
      <c r="S4" s="176">
        <v>58</v>
      </c>
      <c r="T4" s="176">
        <v>63</v>
      </c>
      <c r="U4" s="176">
        <v>64</v>
      </c>
      <c r="V4" s="176">
        <v>68</v>
      </c>
      <c r="W4" s="176">
        <v>69</v>
      </c>
      <c r="X4" s="176">
        <v>80</v>
      </c>
      <c r="Y4" s="176">
        <v>87</v>
      </c>
      <c r="Z4" s="176">
        <v>93</v>
      </c>
      <c r="AA4" s="176">
        <v>93</v>
      </c>
      <c r="AB4" s="176">
        <v>94</v>
      </c>
      <c r="AC4" s="176">
        <v>105</v>
      </c>
      <c r="AD4" s="176">
        <v>109</v>
      </c>
      <c r="AE4" s="176">
        <v>112</v>
      </c>
      <c r="AF4" s="177">
        <v>112</v>
      </c>
      <c r="AG4" s="172">
        <f>'2. Overall cum progress March14'!M4</f>
        <v>120</v>
      </c>
    </row>
    <row r="5" spans="1:33">
      <c r="A5" s="178" t="s">
        <v>301</v>
      </c>
      <c r="B5" s="175"/>
      <c r="C5" s="176">
        <v>25</v>
      </c>
      <c r="D5" s="176">
        <v>86</v>
      </c>
      <c r="E5" s="176">
        <v>110</v>
      </c>
      <c r="F5" s="176">
        <v>110</v>
      </c>
      <c r="G5" s="176">
        <v>110</v>
      </c>
      <c r="H5" s="176">
        <v>110</v>
      </c>
      <c r="I5" s="176">
        <v>110</v>
      </c>
      <c r="J5" s="176">
        <v>120</v>
      </c>
      <c r="K5" s="176">
        <v>121</v>
      </c>
      <c r="L5" s="176">
        <v>121</v>
      </c>
      <c r="M5" s="176">
        <v>165</v>
      </c>
      <c r="N5" s="176">
        <v>250</v>
      </c>
      <c r="O5" s="176">
        <v>284</v>
      </c>
      <c r="P5" s="176">
        <v>440</v>
      </c>
      <c r="Q5" s="176">
        <v>528</v>
      </c>
      <c r="R5" s="176">
        <v>665</v>
      </c>
      <c r="S5" s="176">
        <v>997</v>
      </c>
      <c r="T5" s="176">
        <v>1093</v>
      </c>
      <c r="U5" s="176">
        <v>1205</v>
      </c>
      <c r="V5" s="176">
        <v>1521</v>
      </c>
      <c r="W5" s="176">
        <v>1642</v>
      </c>
      <c r="X5" s="176">
        <v>1894</v>
      </c>
      <c r="Y5" s="176">
        <v>2459</v>
      </c>
      <c r="Z5" s="176">
        <v>2647</v>
      </c>
      <c r="AA5" s="176">
        <v>2852</v>
      </c>
      <c r="AB5" s="176">
        <v>3187</v>
      </c>
      <c r="AC5" s="176">
        <v>3468</v>
      </c>
      <c r="AD5" s="176">
        <v>3739</v>
      </c>
      <c r="AE5" s="176">
        <v>3528</v>
      </c>
      <c r="AF5" s="177">
        <v>3579</v>
      </c>
      <c r="AG5" s="172">
        <f>'2. Overall cum progress March14'!M5</f>
        <v>3616</v>
      </c>
    </row>
    <row r="6" spans="1:33">
      <c r="A6" s="178" t="s">
        <v>302</v>
      </c>
      <c r="B6" s="175"/>
      <c r="C6" s="176">
        <v>9429.2324966162178</v>
      </c>
      <c r="D6" s="176">
        <v>27541.183979328169</v>
      </c>
      <c r="E6" s="176">
        <v>32194.764531807559</v>
      </c>
      <c r="F6" s="176">
        <v>36593.247176079742</v>
      </c>
      <c r="G6" s="176">
        <v>41864.227267134251</v>
      </c>
      <c r="H6" s="176">
        <v>47702.526325827494</v>
      </c>
      <c r="I6" s="176">
        <v>52553.299126368896</v>
      </c>
      <c r="J6" s="176">
        <v>63040.744524424765</v>
      </c>
      <c r="K6" s="176">
        <v>69370.538999630866</v>
      </c>
      <c r="L6" s="176">
        <v>75465.052497846686</v>
      </c>
      <c r="M6" s="176">
        <v>93525.429568106309</v>
      </c>
      <c r="N6" s="176">
        <v>106187.28372093022</v>
      </c>
      <c r="O6" s="176">
        <v>120297.6977728559</v>
      </c>
      <c r="P6" s="176">
        <v>163222.66893687705</v>
      </c>
      <c r="Q6" s="176">
        <v>217658.34453057707</v>
      </c>
      <c r="R6" s="176">
        <v>292997.91411344899</v>
      </c>
      <c r="S6" s="176">
        <v>391655.85943152453</v>
      </c>
      <c r="T6" s="176">
        <v>473371.01459948317</v>
      </c>
      <c r="U6" s="176">
        <v>606186.94726836472</v>
      </c>
      <c r="V6" s="176">
        <v>740798.94726836472</v>
      </c>
      <c r="W6" s="176">
        <v>842214.94726836472</v>
      </c>
      <c r="X6" s="176">
        <v>974557.02857142861</v>
      </c>
      <c r="Y6" s="176">
        <v>1153289.6369262952</v>
      </c>
      <c r="Z6" s="176">
        <v>1376039.6050510644</v>
      </c>
      <c r="AA6" s="176">
        <v>1792948</v>
      </c>
      <c r="AB6" s="176">
        <v>2206474</v>
      </c>
      <c r="AC6" s="176">
        <v>2985924</v>
      </c>
      <c r="AD6" s="176">
        <v>4148316</v>
      </c>
      <c r="AE6" s="176">
        <v>4605847</v>
      </c>
      <c r="AF6" s="177">
        <v>5190417</v>
      </c>
      <c r="AG6" s="172">
        <f>'2. Overall cum progress March14'!M6</f>
        <v>5684566</v>
      </c>
    </row>
    <row r="7" spans="1:33">
      <c r="A7" s="179" t="s">
        <v>303</v>
      </c>
      <c r="B7" s="180"/>
      <c r="C7" s="181">
        <v>0</v>
      </c>
      <c r="D7" s="176">
        <v>0</v>
      </c>
      <c r="E7" s="176">
        <v>0</v>
      </c>
      <c r="F7" s="176">
        <v>0</v>
      </c>
      <c r="G7" s="176">
        <v>0</v>
      </c>
      <c r="H7" s="176">
        <v>0</v>
      </c>
      <c r="I7" s="176">
        <v>0</v>
      </c>
      <c r="J7" s="176">
        <v>0</v>
      </c>
      <c r="K7" s="176">
        <v>0</v>
      </c>
      <c r="L7" s="176">
        <v>0</v>
      </c>
      <c r="M7" s="176">
        <v>0</v>
      </c>
      <c r="N7" s="176">
        <v>0</v>
      </c>
      <c r="O7" s="176"/>
      <c r="P7" s="176">
        <v>0</v>
      </c>
      <c r="Q7" s="176">
        <v>0</v>
      </c>
      <c r="R7" s="176">
        <v>0</v>
      </c>
      <c r="S7" s="176">
        <v>0</v>
      </c>
      <c r="T7" s="176">
        <v>0</v>
      </c>
      <c r="U7" s="176">
        <v>0</v>
      </c>
      <c r="V7" s="176">
        <v>0</v>
      </c>
      <c r="W7" s="176">
        <v>0</v>
      </c>
      <c r="X7" s="176">
        <v>0</v>
      </c>
      <c r="Y7" s="176">
        <v>0</v>
      </c>
      <c r="Z7" s="176">
        <v>0</v>
      </c>
      <c r="AA7" s="176">
        <v>0</v>
      </c>
      <c r="AB7" s="176">
        <v>0</v>
      </c>
      <c r="AC7" s="176">
        <v>261</v>
      </c>
      <c r="AD7" s="176">
        <v>484</v>
      </c>
      <c r="AE7" s="176">
        <v>624</v>
      </c>
      <c r="AF7" s="177">
        <v>765</v>
      </c>
      <c r="AG7" s="172">
        <f>'2. Overall cum progress March14'!M7</f>
        <v>970</v>
      </c>
    </row>
    <row r="8" spans="1:33">
      <c r="A8" s="287" t="s">
        <v>289</v>
      </c>
      <c r="B8" s="182" t="s">
        <v>13</v>
      </c>
      <c r="C8" s="176">
        <v>0</v>
      </c>
      <c r="D8" s="176">
        <v>76</v>
      </c>
      <c r="E8" s="176">
        <v>103</v>
      </c>
      <c r="F8" s="176">
        <v>124</v>
      </c>
      <c r="G8" s="176">
        <v>161</v>
      </c>
      <c r="H8" s="176">
        <v>230</v>
      </c>
      <c r="I8" s="176">
        <v>287</v>
      </c>
      <c r="J8" s="176">
        <v>403</v>
      </c>
      <c r="K8" s="176">
        <v>507</v>
      </c>
      <c r="L8" s="176">
        <v>612</v>
      </c>
      <c r="M8" s="176">
        <v>832</v>
      </c>
      <c r="N8" s="176">
        <v>1100</v>
      </c>
      <c r="O8" s="176">
        <v>1295</v>
      </c>
      <c r="P8" s="176">
        <v>1878</v>
      </c>
      <c r="Q8" s="176">
        <v>2682</v>
      </c>
      <c r="R8" s="176">
        <v>3460</v>
      </c>
      <c r="S8" s="176">
        <v>4909</v>
      </c>
      <c r="T8" s="176">
        <v>6805</v>
      </c>
      <c r="U8" s="176">
        <v>9623</v>
      </c>
      <c r="V8" s="176">
        <v>11806</v>
      </c>
      <c r="W8" s="176">
        <v>14066</v>
      </c>
      <c r="X8" s="176">
        <v>17196</v>
      </c>
      <c r="Y8" s="176">
        <v>21224</v>
      </c>
      <c r="Z8" s="176">
        <v>25917</v>
      </c>
      <c r="AA8" s="176">
        <v>34357</v>
      </c>
      <c r="AB8" s="176">
        <v>42040</v>
      </c>
      <c r="AC8" s="176">
        <v>69350</v>
      </c>
      <c r="AD8" s="176">
        <v>107848</v>
      </c>
      <c r="AE8" s="176">
        <v>126925</v>
      </c>
      <c r="AF8" s="177">
        <v>151842</v>
      </c>
      <c r="AG8" s="172">
        <f>'2. Overall cum progress March14'!M8</f>
        <v>165294</v>
      </c>
    </row>
    <row r="9" spans="1:33">
      <c r="A9" s="287"/>
      <c r="B9" s="183" t="s">
        <v>14</v>
      </c>
      <c r="C9" s="176">
        <v>178</v>
      </c>
      <c r="D9" s="176">
        <v>401</v>
      </c>
      <c r="E9" s="176">
        <v>483</v>
      </c>
      <c r="F9" s="176">
        <v>566</v>
      </c>
      <c r="G9" s="176">
        <v>754</v>
      </c>
      <c r="H9" s="176">
        <v>979</v>
      </c>
      <c r="I9" s="176">
        <v>1158</v>
      </c>
      <c r="J9" s="176">
        <v>1373</v>
      </c>
      <c r="K9" s="176">
        <v>1562</v>
      </c>
      <c r="L9" s="176">
        <v>1723</v>
      </c>
      <c r="M9" s="176">
        <v>2150</v>
      </c>
      <c r="N9" s="176">
        <v>2594</v>
      </c>
      <c r="O9" s="176">
        <v>2866</v>
      </c>
      <c r="P9" s="176">
        <v>3877</v>
      </c>
      <c r="Q9" s="176">
        <v>5222</v>
      </c>
      <c r="R9" s="176">
        <v>7758</v>
      </c>
      <c r="S9" s="176">
        <v>10700.1</v>
      </c>
      <c r="T9" s="176">
        <v>14087.25</v>
      </c>
      <c r="U9" s="176">
        <v>19122.25</v>
      </c>
      <c r="V9" s="176">
        <v>23567.25</v>
      </c>
      <c r="W9" s="176">
        <v>28023.25</v>
      </c>
      <c r="X9" s="176">
        <v>33276.25</v>
      </c>
      <c r="Y9" s="176">
        <v>41472.25</v>
      </c>
      <c r="Z9" s="176">
        <v>51345.25</v>
      </c>
      <c r="AA9" s="176">
        <v>75369</v>
      </c>
      <c r="AB9" s="176">
        <v>94891</v>
      </c>
      <c r="AC9" s="176">
        <v>113495</v>
      </c>
      <c r="AD9" s="176">
        <v>136575</v>
      </c>
      <c r="AE9" s="176">
        <v>142643</v>
      </c>
      <c r="AF9" s="177">
        <v>150078</v>
      </c>
      <c r="AG9" s="172">
        <f>'2. Overall cum progress March14'!M9</f>
        <v>162575</v>
      </c>
    </row>
    <row r="10" spans="1:33">
      <c r="A10" s="287"/>
      <c r="B10" s="183" t="s">
        <v>15</v>
      </c>
      <c r="C10" s="176">
        <v>0</v>
      </c>
      <c r="D10" s="176">
        <v>0</v>
      </c>
      <c r="E10" s="176">
        <v>0</v>
      </c>
      <c r="F10" s="176">
        <v>0</v>
      </c>
      <c r="G10" s="176">
        <v>0</v>
      </c>
      <c r="H10" s="176">
        <v>0</v>
      </c>
      <c r="I10" s="176">
        <v>0</v>
      </c>
      <c r="J10" s="176">
        <v>0</v>
      </c>
      <c r="K10" s="176">
        <v>0</v>
      </c>
      <c r="L10" s="176">
        <v>0</v>
      </c>
      <c r="M10" s="176">
        <v>10</v>
      </c>
      <c r="N10" s="176">
        <v>52</v>
      </c>
      <c r="O10" s="176">
        <v>52</v>
      </c>
      <c r="P10" s="176">
        <v>156</v>
      </c>
      <c r="Q10" s="176">
        <v>328</v>
      </c>
      <c r="R10" s="176">
        <v>483</v>
      </c>
      <c r="S10" s="176">
        <v>714.1</v>
      </c>
      <c r="T10" s="176">
        <v>891.1</v>
      </c>
      <c r="U10" s="176">
        <v>1078.0999999999999</v>
      </c>
      <c r="V10" s="176">
        <v>1252.0999999999999</v>
      </c>
      <c r="W10" s="176">
        <v>1477.1</v>
      </c>
      <c r="X10" s="176">
        <v>1584.1</v>
      </c>
      <c r="Y10" s="176">
        <v>2230.1</v>
      </c>
      <c r="Z10" s="176">
        <v>2913.1</v>
      </c>
      <c r="AA10" s="176">
        <v>4066</v>
      </c>
      <c r="AB10" s="176">
        <v>5387</v>
      </c>
      <c r="AC10" s="176">
        <v>7553</v>
      </c>
      <c r="AD10" s="176">
        <v>10447</v>
      </c>
      <c r="AE10" s="176">
        <v>10437</v>
      </c>
      <c r="AF10" s="177">
        <v>11224</v>
      </c>
      <c r="AG10" s="172">
        <f>'2. Overall cum progress March14'!M10</f>
        <v>13295</v>
      </c>
    </row>
    <row r="11" spans="1:33">
      <c r="A11" s="287"/>
      <c r="B11" s="184" t="s">
        <v>16</v>
      </c>
      <c r="C11" s="185">
        <v>178</v>
      </c>
      <c r="D11" s="185">
        <v>477</v>
      </c>
      <c r="E11" s="185">
        <v>586</v>
      </c>
      <c r="F11" s="185">
        <v>690</v>
      </c>
      <c r="G11" s="185">
        <v>915</v>
      </c>
      <c r="H11" s="185">
        <v>1209</v>
      </c>
      <c r="I11" s="185">
        <v>1445</v>
      </c>
      <c r="J11" s="185">
        <v>1776</v>
      </c>
      <c r="K11" s="185">
        <v>2069</v>
      </c>
      <c r="L11" s="185">
        <v>2335</v>
      </c>
      <c r="M11" s="185">
        <v>2992</v>
      </c>
      <c r="N11" s="185">
        <v>3746</v>
      </c>
      <c r="O11" s="185">
        <v>4213</v>
      </c>
      <c r="P11" s="185">
        <v>5911</v>
      </c>
      <c r="Q11" s="185">
        <v>8232</v>
      </c>
      <c r="R11" s="185">
        <v>11701</v>
      </c>
      <c r="S11" s="185">
        <v>16323.2</v>
      </c>
      <c r="T11" s="185">
        <v>21783.35</v>
      </c>
      <c r="U11" s="185">
        <v>29823.35</v>
      </c>
      <c r="V11" s="185">
        <v>36625.35</v>
      </c>
      <c r="W11" s="185">
        <v>43566.35</v>
      </c>
      <c r="X11" s="185">
        <v>52056.35</v>
      </c>
      <c r="Y11" s="185">
        <v>64926.35</v>
      </c>
      <c r="Z11" s="185">
        <v>80175.350000000006</v>
      </c>
      <c r="AA11" s="185">
        <v>113792</v>
      </c>
      <c r="AB11" s="185">
        <v>142318</v>
      </c>
      <c r="AC11" s="185">
        <v>190398</v>
      </c>
      <c r="AD11" s="185">
        <v>254870</v>
      </c>
      <c r="AE11" s="185">
        <v>280005</v>
      </c>
      <c r="AF11" s="186">
        <v>313144</v>
      </c>
      <c r="AG11" s="172">
        <f>'2. Overall cum progress March14'!M11</f>
        <v>341164</v>
      </c>
    </row>
    <row r="12" spans="1:33">
      <c r="A12" s="287" t="s">
        <v>304</v>
      </c>
      <c r="B12" s="182" t="s">
        <v>17</v>
      </c>
      <c r="C12" s="176">
        <v>0</v>
      </c>
      <c r="D12" s="176">
        <v>4156</v>
      </c>
      <c r="E12" s="176">
        <v>5351</v>
      </c>
      <c r="F12" s="176">
        <v>6770</v>
      </c>
      <c r="G12" s="176">
        <v>8308</v>
      </c>
      <c r="H12" s="176">
        <v>9667</v>
      </c>
      <c r="I12" s="176">
        <v>11342</v>
      </c>
      <c r="J12" s="176">
        <v>15868</v>
      </c>
      <c r="K12" s="176">
        <v>18370</v>
      </c>
      <c r="L12" s="176">
        <v>20668</v>
      </c>
      <c r="M12" s="176">
        <v>27083</v>
      </c>
      <c r="N12" s="176">
        <v>34948</v>
      </c>
      <c r="O12" s="176">
        <v>41234</v>
      </c>
      <c r="P12" s="176">
        <v>60898</v>
      </c>
      <c r="Q12" s="176">
        <v>84330</v>
      </c>
      <c r="R12" s="176">
        <v>106010</v>
      </c>
      <c r="S12" s="176">
        <v>146484</v>
      </c>
      <c r="T12" s="176">
        <v>177654</v>
      </c>
      <c r="U12" s="176">
        <v>228862</v>
      </c>
      <c r="V12" s="176">
        <v>269932</v>
      </c>
      <c r="W12" s="176">
        <v>310752.90000000002</v>
      </c>
      <c r="X12" s="176">
        <v>361417.9</v>
      </c>
      <c r="Y12" s="176">
        <v>430288.10000000003</v>
      </c>
      <c r="Z12" s="176">
        <v>508702</v>
      </c>
      <c r="AA12" s="176">
        <v>655372</v>
      </c>
      <c r="AB12" s="176">
        <v>784693</v>
      </c>
      <c r="AC12" s="176">
        <v>1342680</v>
      </c>
      <c r="AD12" s="176">
        <v>1985063</v>
      </c>
      <c r="AE12" s="176">
        <v>2272219</v>
      </c>
      <c r="AF12" s="177">
        <v>2733738</v>
      </c>
      <c r="AG12" s="172">
        <f>'2. Overall cum progress March14'!M12</f>
        <v>3008071</v>
      </c>
    </row>
    <row r="13" spans="1:33">
      <c r="A13" s="287"/>
      <c r="B13" s="183" t="s">
        <v>18</v>
      </c>
      <c r="C13" s="176">
        <v>12050</v>
      </c>
      <c r="D13" s="176">
        <v>31040</v>
      </c>
      <c r="E13" s="176">
        <v>35792</v>
      </c>
      <c r="F13" s="176">
        <v>39994</v>
      </c>
      <c r="G13" s="176">
        <v>45192</v>
      </c>
      <c r="H13" s="176">
        <v>51294</v>
      </c>
      <c r="I13" s="176">
        <v>55818</v>
      </c>
      <c r="J13" s="176">
        <v>64410</v>
      </c>
      <c r="K13" s="176">
        <v>69444</v>
      </c>
      <c r="L13" s="176">
        <v>74301</v>
      </c>
      <c r="M13" s="176">
        <v>89234</v>
      </c>
      <c r="N13" s="176">
        <v>95127</v>
      </c>
      <c r="O13" s="176">
        <v>104513</v>
      </c>
      <c r="P13" s="176">
        <v>138851</v>
      </c>
      <c r="Q13" s="176">
        <v>178964</v>
      </c>
      <c r="R13" s="176">
        <v>241323</v>
      </c>
      <c r="S13" s="176">
        <v>305514</v>
      </c>
      <c r="T13" s="176">
        <v>379082</v>
      </c>
      <c r="U13" s="176">
        <v>485688</v>
      </c>
      <c r="V13" s="176">
        <v>581592</v>
      </c>
      <c r="W13" s="176">
        <v>669609</v>
      </c>
      <c r="X13" s="176">
        <v>757198</v>
      </c>
      <c r="Y13" s="176">
        <v>900998</v>
      </c>
      <c r="Z13" s="176">
        <v>1066958</v>
      </c>
      <c r="AA13" s="176">
        <v>1429124</v>
      </c>
      <c r="AB13" s="176">
        <v>1695879</v>
      </c>
      <c r="AC13" s="176">
        <v>1961139</v>
      </c>
      <c r="AD13" s="176">
        <v>2414693</v>
      </c>
      <c r="AE13" s="176">
        <v>2471344</v>
      </c>
      <c r="AF13" s="177">
        <v>2608961</v>
      </c>
      <c r="AG13" s="172">
        <f>'2. Overall cum progress March14'!M13</f>
        <v>2857599</v>
      </c>
    </row>
    <row r="14" spans="1:33">
      <c r="A14" s="287"/>
      <c r="B14" s="184" t="s">
        <v>16</v>
      </c>
      <c r="C14" s="185">
        <v>12050</v>
      </c>
      <c r="D14" s="185">
        <v>35196</v>
      </c>
      <c r="E14" s="185">
        <v>41143</v>
      </c>
      <c r="F14" s="185">
        <v>46764</v>
      </c>
      <c r="G14" s="185">
        <v>53500</v>
      </c>
      <c r="H14" s="185">
        <v>60961</v>
      </c>
      <c r="I14" s="185">
        <v>67160</v>
      </c>
      <c r="J14" s="185">
        <v>80278</v>
      </c>
      <c r="K14" s="185">
        <v>87814</v>
      </c>
      <c r="L14" s="185">
        <v>94969</v>
      </c>
      <c r="M14" s="185">
        <v>116317</v>
      </c>
      <c r="N14" s="185">
        <v>130075</v>
      </c>
      <c r="O14" s="185">
        <v>145747</v>
      </c>
      <c r="P14" s="185">
        <v>199749</v>
      </c>
      <c r="Q14" s="185">
        <v>263294</v>
      </c>
      <c r="R14" s="185">
        <v>347333</v>
      </c>
      <c r="S14" s="185">
        <v>451998</v>
      </c>
      <c r="T14" s="185">
        <v>556736</v>
      </c>
      <c r="U14" s="185">
        <v>714550</v>
      </c>
      <c r="V14" s="185">
        <v>851524</v>
      </c>
      <c r="W14" s="185">
        <v>980361.9</v>
      </c>
      <c r="X14" s="185">
        <v>1118615.8999999999</v>
      </c>
      <c r="Y14" s="185">
        <v>1331286.0999999999</v>
      </c>
      <c r="Z14" s="185">
        <v>1575659.9999999998</v>
      </c>
      <c r="AA14" s="185">
        <v>2084496</v>
      </c>
      <c r="AB14" s="185">
        <v>2480572</v>
      </c>
      <c r="AC14" s="185">
        <v>3303819</v>
      </c>
      <c r="AD14" s="185">
        <v>4399756</v>
      </c>
      <c r="AE14" s="185">
        <v>4743563</v>
      </c>
      <c r="AF14" s="186">
        <v>5342699</v>
      </c>
      <c r="AG14" s="172">
        <f>'2. Overall cum progress March14'!M14</f>
        <v>5865670</v>
      </c>
    </row>
    <row r="15" spans="1:33">
      <c r="A15" s="288" t="s">
        <v>249</v>
      </c>
      <c r="B15" s="187" t="s">
        <v>17</v>
      </c>
      <c r="C15" s="188">
        <v>0</v>
      </c>
      <c r="D15" s="176">
        <v>0.52</v>
      </c>
      <c r="E15" s="176">
        <v>1.38</v>
      </c>
      <c r="F15" s="176">
        <v>2.12</v>
      </c>
      <c r="G15" s="176">
        <v>3.3511660000000001</v>
      </c>
      <c r="H15" s="176">
        <v>4.82</v>
      </c>
      <c r="I15" s="176">
        <v>7.6400000000000006</v>
      </c>
      <c r="J15" s="176">
        <v>10.405999999999999</v>
      </c>
      <c r="K15" s="176">
        <v>13.660999999999998</v>
      </c>
      <c r="L15" s="176">
        <v>17.787599999999998</v>
      </c>
      <c r="M15" s="176">
        <v>23.410838999999996</v>
      </c>
      <c r="N15" s="176">
        <v>33.897176999999999</v>
      </c>
      <c r="O15" s="176">
        <v>50.122177000000001</v>
      </c>
      <c r="P15" s="176">
        <v>67.844358999999997</v>
      </c>
      <c r="Q15" s="176">
        <v>86.601716999999994</v>
      </c>
      <c r="R15" s="176">
        <v>113.09934699999999</v>
      </c>
      <c r="S15" s="176">
        <v>131.40386000000001</v>
      </c>
      <c r="T15" s="176">
        <v>152.436712</v>
      </c>
      <c r="U15" s="176">
        <v>187.15009699999999</v>
      </c>
      <c r="V15" s="176">
        <v>214.49246599999998</v>
      </c>
      <c r="W15" s="176">
        <v>232.68807499999997</v>
      </c>
      <c r="X15" s="176">
        <v>255.77047199999998</v>
      </c>
      <c r="Y15" s="176">
        <v>286.66726699999998</v>
      </c>
      <c r="Z15" s="176">
        <v>326.90143399999999</v>
      </c>
      <c r="AA15" s="176">
        <v>405.65</v>
      </c>
      <c r="AB15" s="176">
        <v>438.99700000000001</v>
      </c>
      <c r="AC15" s="176">
        <v>474.46</v>
      </c>
      <c r="AD15" s="176">
        <v>524.33000000000004</v>
      </c>
      <c r="AE15" s="176">
        <v>594</v>
      </c>
      <c r="AF15" s="177">
        <v>748.18999999999994</v>
      </c>
      <c r="AG15" s="172">
        <f>'2. Overall cum progress March14'!M15</f>
        <v>700.75128006914997</v>
      </c>
    </row>
    <row r="16" spans="1:33">
      <c r="A16" s="288"/>
      <c r="B16" s="189" t="s">
        <v>18</v>
      </c>
      <c r="C16" s="190">
        <v>0.66274999999999995</v>
      </c>
      <c r="D16" s="176">
        <v>5.87</v>
      </c>
      <c r="E16" s="176">
        <v>10.530000000000001</v>
      </c>
      <c r="F16" s="176">
        <v>17.96</v>
      </c>
      <c r="G16" s="176">
        <v>34.340000000000003</v>
      </c>
      <c r="H16" s="176">
        <v>51.33</v>
      </c>
      <c r="I16" s="176">
        <v>68.41</v>
      </c>
      <c r="J16" s="176">
        <v>86.44</v>
      </c>
      <c r="K16" s="176">
        <v>104.15009999999999</v>
      </c>
      <c r="L16" s="176">
        <v>127.39009999999999</v>
      </c>
      <c r="M16" s="176">
        <v>143.040166</v>
      </c>
      <c r="N16" s="176">
        <v>181.25131299999998</v>
      </c>
      <c r="O16" s="176">
        <v>216.154313</v>
      </c>
      <c r="P16" s="176">
        <v>261.67672499999998</v>
      </c>
      <c r="Q16" s="176">
        <v>310.013937</v>
      </c>
      <c r="R16" s="176">
        <v>365.60872499999999</v>
      </c>
      <c r="S16" s="176">
        <v>427.18954600000001</v>
      </c>
      <c r="T16" s="176">
        <v>488.12429700000001</v>
      </c>
      <c r="U16" s="176">
        <v>554.72024899999997</v>
      </c>
      <c r="V16" s="176">
        <v>628.37888399999997</v>
      </c>
      <c r="W16" s="176">
        <v>672.90471700000001</v>
      </c>
      <c r="X16" s="176">
        <v>825.46499599999993</v>
      </c>
      <c r="Y16" s="176">
        <v>916.99944399999993</v>
      </c>
      <c r="Z16" s="176">
        <v>1058.2791649999999</v>
      </c>
      <c r="AA16" s="176">
        <v>1465.1</v>
      </c>
      <c r="AB16" s="176">
        <v>1601.626</v>
      </c>
      <c r="AC16" s="176">
        <v>1656.2</v>
      </c>
      <c r="AD16" s="176">
        <v>1832.35</v>
      </c>
      <c r="AE16" s="176">
        <v>1786</v>
      </c>
      <c r="AF16" s="177">
        <v>1820.3119999999997</v>
      </c>
      <c r="AG16" s="172">
        <f>'2. Overall cum progress March14'!M16</f>
        <v>1834.5024352975349</v>
      </c>
    </row>
    <row r="17" spans="1:33">
      <c r="A17" s="288"/>
      <c r="B17" s="184" t="s">
        <v>16</v>
      </c>
      <c r="C17" s="191">
        <v>0.66274999999999995</v>
      </c>
      <c r="D17" s="185">
        <v>6.39</v>
      </c>
      <c r="E17" s="185">
        <v>11.91</v>
      </c>
      <c r="F17" s="185">
        <v>20.079999999999998</v>
      </c>
      <c r="G17" s="185">
        <v>37.691165999999996</v>
      </c>
      <c r="H17" s="185">
        <v>56.149999999999991</v>
      </c>
      <c r="I17" s="185">
        <v>76.049999999999983</v>
      </c>
      <c r="J17" s="185">
        <v>96.845999999999975</v>
      </c>
      <c r="K17" s="185">
        <v>117.81109999999998</v>
      </c>
      <c r="L17" s="185">
        <v>145.17769999999999</v>
      </c>
      <c r="M17" s="185">
        <v>166.45100499999998</v>
      </c>
      <c r="N17" s="185">
        <v>215.14848999999998</v>
      </c>
      <c r="O17" s="185">
        <v>266.27648999999997</v>
      </c>
      <c r="P17" s="185">
        <v>329.52108399999997</v>
      </c>
      <c r="Q17" s="185">
        <v>396.61565399999995</v>
      </c>
      <c r="R17" s="185">
        <v>478.70807199999996</v>
      </c>
      <c r="S17" s="185">
        <v>558.59340599999996</v>
      </c>
      <c r="T17" s="185">
        <v>640.5610089999999</v>
      </c>
      <c r="U17" s="185">
        <v>741.87034599999993</v>
      </c>
      <c r="V17" s="185">
        <v>842.87134999999989</v>
      </c>
      <c r="W17" s="185">
        <v>905.59279199999992</v>
      </c>
      <c r="X17" s="185">
        <v>1081.2354679999999</v>
      </c>
      <c r="Y17" s="185">
        <v>1203.6667109999999</v>
      </c>
      <c r="Z17" s="185">
        <v>1385.1805989999998</v>
      </c>
      <c r="AA17" s="185">
        <v>1870.75</v>
      </c>
      <c r="AB17" s="185">
        <v>2040.623</v>
      </c>
      <c r="AC17" s="185">
        <v>2130.66</v>
      </c>
      <c r="AD17" s="185">
        <v>2356.6799999999998</v>
      </c>
      <c r="AE17" s="185">
        <v>2380</v>
      </c>
      <c r="AF17" s="186">
        <v>2568.5019999999995</v>
      </c>
      <c r="AG17" s="172">
        <f>'2. Overall cum progress March14'!M17</f>
        <v>2535.2537153666849</v>
      </c>
    </row>
    <row r="18" spans="1:33">
      <c r="A18" s="287" t="s">
        <v>19</v>
      </c>
      <c r="B18" s="182" t="s">
        <v>17</v>
      </c>
      <c r="C18" s="176">
        <v>0</v>
      </c>
      <c r="D18" s="176">
        <v>0</v>
      </c>
      <c r="E18" s="176">
        <v>0</v>
      </c>
      <c r="F18" s="176">
        <v>0</v>
      </c>
      <c r="G18" s="176">
        <v>0</v>
      </c>
      <c r="H18" s="176">
        <v>0</v>
      </c>
      <c r="I18" s="176">
        <v>0</v>
      </c>
      <c r="J18" s="176">
        <v>0</v>
      </c>
      <c r="K18" s="176">
        <v>74</v>
      </c>
      <c r="L18" s="176">
        <v>1318</v>
      </c>
      <c r="M18" s="176">
        <v>1827</v>
      </c>
      <c r="N18" s="176">
        <v>3151</v>
      </c>
      <c r="O18" s="176">
        <v>4148</v>
      </c>
      <c r="P18" s="176">
        <v>7054</v>
      </c>
      <c r="Q18" s="176">
        <v>12433</v>
      </c>
      <c r="R18" s="176">
        <v>18299</v>
      </c>
      <c r="S18" s="176">
        <v>37314</v>
      </c>
      <c r="T18" s="176">
        <v>58049</v>
      </c>
      <c r="U18" s="176">
        <v>78085</v>
      </c>
      <c r="V18" s="176">
        <v>115299</v>
      </c>
      <c r="W18" s="176">
        <v>153450</v>
      </c>
      <c r="X18" s="176">
        <v>186001</v>
      </c>
      <c r="Y18" s="176">
        <v>225465</v>
      </c>
      <c r="Z18" s="176">
        <v>258380</v>
      </c>
      <c r="AA18" s="176">
        <v>336167</v>
      </c>
      <c r="AB18" s="176">
        <v>398314</v>
      </c>
      <c r="AC18" s="176">
        <v>532151</v>
      </c>
      <c r="AD18" s="176">
        <v>1184804</v>
      </c>
      <c r="AE18" s="176">
        <v>1311885</v>
      </c>
      <c r="AF18" s="177">
        <v>1635674</v>
      </c>
      <c r="AG18" s="172">
        <f>'2. Overall cum progress March14'!M18</f>
        <v>1992495</v>
      </c>
    </row>
    <row r="19" spans="1:33">
      <c r="A19" s="287"/>
      <c r="B19" s="183" t="s">
        <v>18</v>
      </c>
      <c r="C19" s="176">
        <v>91</v>
      </c>
      <c r="D19" s="176">
        <v>270</v>
      </c>
      <c r="E19" s="176">
        <v>656</v>
      </c>
      <c r="F19" s="176">
        <v>889</v>
      </c>
      <c r="G19" s="176">
        <v>1293</v>
      </c>
      <c r="H19" s="176">
        <v>2063</v>
      </c>
      <c r="I19" s="176">
        <v>2656</v>
      </c>
      <c r="J19" s="176">
        <v>3830</v>
      </c>
      <c r="K19" s="176">
        <v>5121</v>
      </c>
      <c r="L19" s="176">
        <v>9601</v>
      </c>
      <c r="M19" s="176">
        <v>11806</v>
      </c>
      <c r="N19" s="176">
        <v>18382</v>
      </c>
      <c r="O19" s="176">
        <v>20292</v>
      </c>
      <c r="P19" s="176">
        <v>29950</v>
      </c>
      <c r="Q19" s="176">
        <v>38952</v>
      </c>
      <c r="R19" s="176">
        <v>56004</v>
      </c>
      <c r="S19" s="176">
        <v>100591</v>
      </c>
      <c r="T19" s="176">
        <v>156362</v>
      </c>
      <c r="U19" s="176">
        <v>200200</v>
      </c>
      <c r="V19" s="176">
        <v>253956</v>
      </c>
      <c r="W19" s="176">
        <v>309666</v>
      </c>
      <c r="X19" s="176">
        <v>357100</v>
      </c>
      <c r="Y19" s="176">
        <v>422745</v>
      </c>
      <c r="Z19" s="176">
        <v>486118</v>
      </c>
      <c r="AA19" s="176">
        <v>611277</v>
      </c>
      <c r="AB19" s="176">
        <v>698089</v>
      </c>
      <c r="AC19" s="176">
        <v>788342</v>
      </c>
      <c r="AD19" s="176">
        <v>1306092</v>
      </c>
      <c r="AE19" s="176">
        <v>1347469</v>
      </c>
      <c r="AF19" s="177">
        <v>1517653</v>
      </c>
      <c r="AG19" s="172">
        <f>'2. Overall cum progress March14'!M19</f>
        <v>1805203</v>
      </c>
    </row>
    <row r="20" spans="1:33">
      <c r="A20" s="287"/>
      <c r="B20" s="184" t="s">
        <v>16</v>
      </c>
      <c r="C20" s="185">
        <v>91</v>
      </c>
      <c r="D20" s="185">
        <v>270</v>
      </c>
      <c r="E20" s="185">
        <v>656</v>
      </c>
      <c r="F20" s="185">
        <v>889</v>
      </c>
      <c r="G20" s="185">
        <v>1293</v>
      </c>
      <c r="H20" s="185">
        <v>2063</v>
      </c>
      <c r="I20" s="185">
        <v>2656</v>
      </c>
      <c r="J20" s="185">
        <v>3830</v>
      </c>
      <c r="K20" s="185">
        <v>5195</v>
      </c>
      <c r="L20" s="185">
        <v>10919</v>
      </c>
      <c r="M20" s="185">
        <v>13633</v>
      </c>
      <c r="N20" s="185">
        <v>21533</v>
      </c>
      <c r="O20" s="185">
        <v>24440</v>
      </c>
      <c r="P20" s="185">
        <v>37004</v>
      </c>
      <c r="Q20" s="185">
        <v>51385</v>
      </c>
      <c r="R20" s="185">
        <v>74303</v>
      </c>
      <c r="S20" s="185">
        <v>137905</v>
      </c>
      <c r="T20" s="185">
        <v>214411</v>
      </c>
      <c r="U20" s="185">
        <v>278285</v>
      </c>
      <c r="V20" s="185">
        <v>369255</v>
      </c>
      <c r="W20" s="185">
        <v>463116</v>
      </c>
      <c r="X20" s="185">
        <v>543101</v>
      </c>
      <c r="Y20" s="185">
        <v>648210</v>
      </c>
      <c r="Z20" s="185">
        <v>744498</v>
      </c>
      <c r="AA20" s="185">
        <v>947444</v>
      </c>
      <c r="AB20" s="185">
        <v>1096403</v>
      </c>
      <c r="AC20" s="185">
        <v>1320493</v>
      </c>
      <c r="AD20" s="185">
        <v>2490896</v>
      </c>
      <c r="AE20" s="185">
        <v>2659354</v>
      </c>
      <c r="AF20" s="186">
        <v>3153327</v>
      </c>
      <c r="AG20" s="172">
        <f>'2. Overall cum progress March14'!M20</f>
        <v>3797698</v>
      </c>
    </row>
    <row r="21" spans="1:33">
      <c r="A21" s="283" t="s">
        <v>205</v>
      </c>
      <c r="B21" s="192" t="s">
        <v>297</v>
      </c>
      <c r="C21" s="193">
        <v>0</v>
      </c>
      <c r="D21" s="193">
        <v>0</v>
      </c>
      <c r="E21" s="193">
        <v>0</v>
      </c>
      <c r="F21" s="193">
        <v>0</v>
      </c>
      <c r="G21" s="193">
        <v>0</v>
      </c>
      <c r="H21" s="193">
        <v>0</v>
      </c>
      <c r="I21" s="193">
        <v>0</v>
      </c>
      <c r="J21" s="193">
        <v>0</v>
      </c>
      <c r="K21" s="193">
        <v>0</v>
      </c>
      <c r="L21" s="193">
        <v>0</v>
      </c>
      <c r="M21" s="193">
        <v>0</v>
      </c>
      <c r="N21" s="193">
        <v>0</v>
      </c>
      <c r="O21" s="193">
        <v>0</v>
      </c>
      <c r="P21" s="193">
        <v>0</v>
      </c>
      <c r="Q21" s="193">
        <v>0</v>
      </c>
      <c r="R21" s="193">
        <v>0</v>
      </c>
      <c r="S21" s="193">
        <v>0</v>
      </c>
      <c r="T21" s="193">
        <v>0</v>
      </c>
      <c r="U21" s="193">
        <v>0</v>
      </c>
      <c r="V21" s="193">
        <v>0</v>
      </c>
      <c r="W21" s="193">
        <v>0</v>
      </c>
      <c r="X21" s="193">
        <v>0</v>
      </c>
      <c r="Y21" s="193">
        <v>0</v>
      </c>
      <c r="Z21" s="193">
        <v>0</v>
      </c>
      <c r="AA21" s="193">
        <v>0</v>
      </c>
      <c r="AB21" s="193">
        <v>0</v>
      </c>
      <c r="AC21" s="193">
        <v>0</v>
      </c>
      <c r="AD21" s="193">
        <v>0</v>
      </c>
      <c r="AE21" s="193">
        <v>179</v>
      </c>
      <c r="AF21" s="177">
        <v>236</v>
      </c>
      <c r="AG21" s="172">
        <f>'2. Overall cum progress March14'!M21</f>
        <v>273</v>
      </c>
    </row>
    <row r="22" spans="1:33">
      <c r="A22" s="284"/>
      <c r="B22" s="183" t="s">
        <v>298</v>
      </c>
      <c r="C22" s="193">
        <v>0</v>
      </c>
      <c r="D22" s="193">
        <v>0</v>
      </c>
      <c r="E22" s="193">
        <v>0</v>
      </c>
      <c r="F22" s="193">
        <v>0</v>
      </c>
      <c r="G22" s="193">
        <v>0</v>
      </c>
      <c r="H22" s="193">
        <v>0</v>
      </c>
      <c r="I22" s="193">
        <v>0</v>
      </c>
      <c r="J22" s="193">
        <v>0</v>
      </c>
      <c r="K22" s="193">
        <v>0</v>
      </c>
      <c r="L22" s="193">
        <v>0</v>
      </c>
      <c r="M22" s="193">
        <v>0</v>
      </c>
      <c r="N22" s="193">
        <v>0</v>
      </c>
      <c r="O22" s="193">
        <v>0</v>
      </c>
      <c r="P22" s="193">
        <v>0</v>
      </c>
      <c r="Q22" s="193">
        <v>0</v>
      </c>
      <c r="R22" s="193">
        <v>0</v>
      </c>
      <c r="S22" s="193">
        <v>0</v>
      </c>
      <c r="T22" s="193">
        <v>0</v>
      </c>
      <c r="U22" s="193">
        <v>0</v>
      </c>
      <c r="V22" s="193">
        <v>0</v>
      </c>
      <c r="W22" s="193">
        <v>0</v>
      </c>
      <c r="X22" s="193">
        <v>0</v>
      </c>
      <c r="Y22" s="193">
        <v>0</v>
      </c>
      <c r="Z22" s="193">
        <v>0</v>
      </c>
      <c r="AA22" s="193">
        <v>0</v>
      </c>
      <c r="AB22" s="193">
        <v>0</v>
      </c>
      <c r="AC22" s="193">
        <v>0</v>
      </c>
      <c r="AD22" s="193">
        <v>0</v>
      </c>
      <c r="AE22" s="193">
        <v>3594</v>
      </c>
      <c r="AF22" s="177">
        <v>5167</v>
      </c>
      <c r="AG22" s="172">
        <f>'2. Overall cum progress March14'!M22</f>
        <v>5358</v>
      </c>
    </row>
    <row r="23" spans="1:33">
      <c r="A23" s="284"/>
      <c r="B23" s="183" t="s">
        <v>299</v>
      </c>
      <c r="C23" s="193">
        <v>0</v>
      </c>
      <c r="D23" s="193">
        <v>0</v>
      </c>
      <c r="E23" s="193">
        <v>0</v>
      </c>
      <c r="F23" s="193">
        <v>0</v>
      </c>
      <c r="G23" s="193">
        <v>0</v>
      </c>
      <c r="H23" s="193">
        <v>0</v>
      </c>
      <c r="I23" s="193">
        <v>0</v>
      </c>
      <c r="J23" s="193">
        <v>0</v>
      </c>
      <c r="K23" s="193">
        <v>0</v>
      </c>
      <c r="L23" s="193">
        <v>0</v>
      </c>
      <c r="M23" s="193">
        <v>0</v>
      </c>
      <c r="N23" s="193">
        <v>0</v>
      </c>
      <c r="O23" s="193">
        <v>0</v>
      </c>
      <c r="P23" s="193">
        <v>0</v>
      </c>
      <c r="Q23" s="193">
        <v>0</v>
      </c>
      <c r="R23" s="193">
        <v>0</v>
      </c>
      <c r="S23" s="193">
        <v>0</v>
      </c>
      <c r="T23" s="193">
        <v>0</v>
      </c>
      <c r="U23" s="193">
        <v>0</v>
      </c>
      <c r="V23" s="193">
        <v>0</v>
      </c>
      <c r="W23" s="193">
        <v>0</v>
      </c>
      <c r="X23" s="193">
        <v>0</v>
      </c>
      <c r="Y23" s="193">
        <v>0</v>
      </c>
      <c r="Z23" s="193">
        <v>0</v>
      </c>
      <c r="AA23" s="193">
        <v>0</v>
      </c>
      <c r="AB23" s="193">
        <v>0</v>
      </c>
      <c r="AC23" s="193">
        <v>0</v>
      </c>
      <c r="AD23" s="193">
        <v>0</v>
      </c>
      <c r="AE23" s="193">
        <v>110069</v>
      </c>
      <c r="AF23" s="177">
        <v>152829</v>
      </c>
      <c r="AG23" s="172">
        <f>'2. Overall cum progress March14'!M23</f>
        <v>185057</v>
      </c>
    </row>
    <row r="24" spans="1:33" ht="29.25">
      <c r="A24" s="285"/>
      <c r="B24" s="183" t="s">
        <v>250</v>
      </c>
      <c r="C24" s="193">
        <v>0</v>
      </c>
      <c r="D24" s="193">
        <v>0</v>
      </c>
      <c r="E24" s="193">
        <v>0</v>
      </c>
      <c r="F24" s="193">
        <v>0</v>
      </c>
      <c r="G24" s="193">
        <v>0</v>
      </c>
      <c r="H24" s="193">
        <v>0</v>
      </c>
      <c r="I24" s="193">
        <v>0</v>
      </c>
      <c r="J24" s="193">
        <v>0</v>
      </c>
      <c r="K24" s="193">
        <v>0</v>
      </c>
      <c r="L24" s="193">
        <v>0</v>
      </c>
      <c r="M24" s="193">
        <v>0</v>
      </c>
      <c r="N24" s="193">
        <v>0</v>
      </c>
      <c r="O24" s="193">
        <v>0</v>
      </c>
      <c r="P24" s="193">
        <v>0</v>
      </c>
      <c r="Q24" s="193">
        <v>0</v>
      </c>
      <c r="R24" s="193">
        <v>0</v>
      </c>
      <c r="S24" s="193">
        <v>0</v>
      </c>
      <c r="T24" s="193">
        <v>0</v>
      </c>
      <c r="U24" s="193">
        <v>0</v>
      </c>
      <c r="V24" s="193">
        <v>0</v>
      </c>
      <c r="W24" s="193">
        <v>0</v>
      </c>
      <c r="X24" s="193">
        <v>0</v>
      </c>
      <c r="Y24" s="193">
        <v>0</v>
      </c>
      <c r="Z24" s="193">
        <v>0</v>
      </c>
      <c r="AA24" s="193">
        <v>0</v>
      </c>
      <c r="AB24" s="193">
        <v>0</v>
      </c>
      <c r="AC24" s="193">
        <v>0</v>
      </c>
      <c r="AD24" s="193">
        <v>0</v>
      </c>
      <c r="AE24" s="193">
        <v>1106</v>
      </c>
      <c r="AF24" s="194">
        <v>1652.9050830000001</v>
      </c>
      <c r="AG24" s="172">
        <f>'2. Overall cum progress March14'!M24</f>
        <v>2034.249583</v>
      </c>
    </row>
    <row r="25" spans="1:33">
      <c r="A25" s="288" t="s">
        <v>20</v>
      </c>
      <c r="B25" s="187" t="s">
        <v>17</v>
      </c>
      <c r="C25" s="190">
        <v>0</v>
      </c>
      <c r="D25" s="176">
        <v>0</v>
      </c>
      <c r="E25" s="176">
        <v>0</v>
      </c>
      <c r="F25" s="176">
        <v>0</v>
      </c>
      <c r="G25" s="176">
        <v>0.72933599999999998</v>
      </c>
      <c r="H25" s="176">
        <v>2.6786989999999999</v>
      </c>
      <c r="I25" s="176">
        <v>3.9</v>
      </c>
      <c r="J25" s="176">
        <v>6.08</v>
      </c>
      <c r="K25" s="176">
        <v>8.0981000000000005</v>
      </c>
      <c r="L25" s="176">
        <v>11.086100000000002</v>
      </c>
      <c r="M25" s="176">
        <v>16.658100000000001</v>
      </c>
      <c r="N25" s="176">
        <v>27.8354</v>
      </c>
      <c r="O25" s="176">
        <v>51.955740000000006</v>
      </c>
      <c r="P25" s="176">
        <v>89.685465000000008</v>
      </c>
      <c r="Q25" s="176">
        <v>171.398079</v>
      </c>
      <c r="R25" s="176">
        <v>257.79349400000001</v>
      </c>
      <c r="S25" s="176">
        <v>393.65334400000006</v>
      </c>
      <c r="T25" s="176">
        <v>593.8265100000001</v>
      </c>
      <c r="U25" s="176">
        <v>837.80627000000004</v>
      </c>
      <c r="V25" s="176">
        <v>1129.6137100000001</v>
      </c>
      <c r="W25" s="176">
        <v>1564.6495610000002</v>
      </c>
      <c r="X25" s="176">
        <v>2141.8754820000004</v>
      </c>
      <c r="Y25" s="176">
        <v>2963.9566730000006</v>
      </c>
      <c r="Z25" s="176">
        <v>4199.2255530000002</v>
      </c>
      <c r="AA25" s="176">
        <v>8062.3</v>
      </c>
      <c r="AB25" s="176">
        <v>12289.19</v>
      </c>
      <c r="AC25" s="176">
        <v>16292.39</v>
      </c>
      <c r="AD25" s="176">
        <v>18466.13</v>
      </c>
      <c r="AE25" s="176">
        <v>26846</v>
      </c>
      <c r="AF25" s="177">
        <v>34781.01571</v>
      </c>
      <c r="AG25" s="172">
        <f>'2. Overall cum progress March14'!M25</f>
        <v>48618.985709999994</v>
      </c>
    </row>
    <row r="26" spans="1:33">
      <c r="A26" s="288"/>
      <c r="B26" s="189" t="s">
        <v>18</v>
      </c>
      <c r="C26" s="190">
        <v>0.71</v>
      </c>
      <c r="D26" s="176">
        <v>3.52</v>
      </c>
      <c r="E26" s="176">
        <v>8.57</v>
      </c>
      <c r="F26" s="176">
        <v>24.75</v>
      </c>
      <c r="G26" s="176">
        <v>50.017663999999996</v>
      </c>
      <c r="H26" s="176">
        <v>82.621300999999988</v>
      </c>
      <c r="I26" s="176">
        <v>111.5</v>
      </c>
      <c r="J26" s="176">
        <v>123.37</v>
      </c>
      <c r="K26" s="176">
        <v>132.99956500000002</v>
      </c>
      <c r="L26" s="176">
        <v>144.87455300000002</v>
      </c>
      <c r="M26" s="176">
        <v>153.21655300000003</v>
      </c>
      <c r="N26" s="176">
        <v>328.99442700000003</v>
      </c>
      <c r="O26" s="176">
        <v>441.10692700000004</v>
      </c>
      <c r="P26" s="176">
        <v>619.586547</v>
      </c>
      <c r="Q26" s="176">
        <v>941.10618299999999</v>
      </c>
      <c r="R26" s="176">
        <v>1624.0987719999998</v>
      </c>
      <c r="S26" s="176">
        <v>2801.8091079999999</v>
      </c>
      <c r="T26" s="176">
        <v>3773.813615</v>
      </c>
      <c r="U26" s="176">
        <v>4692.3594059999996</v>
      </c>
      <c r="V26" s="176">
        <v>5493.9082699999999</v>
      </c>
      <c r="W26" s="176">
        <v>6546.9565199999997</v>
      </c>
      <c r="X26" s="176">
        <v>8081.4465309999996</v>
      </c>
      <c r="Y26" s="176">
        <v>9857.6422309999998</v>
      </c>
      <c r="Z26" s="176">
        <v>12699.101413</v>
      </c>
      <c r="AA26" s="176">
        <v>19795.93</v>
      </c>
      <c r="AB26" s="176">
        <v>28557.16</v>
      </c>
      <c r="AC26" s="176">
        <v>35616.32</v>
      </c>
      <c r="AD26" s="176">
        <v>43669.73</v>
      </c>
      <c r="AE26" s="176">
        <v>46277</v>
      </c>
      <c r="AF26" s="177">
        <v>50357.762002000003</v>
      </c>
      <c r="AG26" s="172">
        <f>'2. Overall cum progress March14'!M26</f>
        <v>56807.523201999997</v>
      </c>
    </row>
    <row r="27" spans="1:33">
      <c r="A27" s="288"/>
      <c r="B27" s="184" t="s">
        <v>16</v>
      </c>
      <c r="C27" s="191">
        <v>0.71</v>
      </c>
      <c r="D27" s="185">
        <v>3.52</v>
      </c>
      <c r="E27" s="185">
        <v>8.57</v>
      </c>
      <c r="F27" s="185">
        <v>24.75</v>
      </c>
      <c r="G27" s="185">
        <v>50.747</v>
      </c>
      <c r="H27" s="185">
        <v>85.3</v>
      </c>
      <c r="I27" s="185">
        <v>115.4</v>
      </c>
      <c r="J27" s="185">
        <v>129.45000000000002</v>
      </c>
      <c r="K27" s="185">
        <v>141.09766500000001</v>
      </c>
      <c r="L27" s="185">
        <v>155.96065300000001</v>
      </c>
      <c r="M27" s="185">
        <v>169.87465300000002</v>
      </c>
      <c r="N27" s="185">
        <v>356.82982700000002</v>
      </c>
      <c r="O27" s="185">
        <v>493.06266700000003</v>
      </c>
      <c r="P27" s="185">
        <v>709.27201200000002</v>
      </c>
      <c r="Q27" s="185">
        <v>1112.5042619999999</v>
      </c>
      <c r="R27" s="185">
        <v>1881.8922659999998</v>
      </c>
      <c r="S27" s="185">
        <v>3195.4624519999998</v>
      </c>
      <c r="T27" s="185">
        <v>4367.6401249999999</v>
      </c>
      <c r="U27" s="185">
        <v>5530.1656759999996</v>
      </c>
      <c r="V27" s="185">
        <v>6623.5219799999995</v>
      </c>
      <c r="W27" s="185">
        <v>8111.6060809999999</v>
      </c>
      <c r="X27" s="185">
        <v>10223.322013000001</v>
      </c>
      <c r="Y27" s="185">
        <v>12821.598904</v>
      </c>
      <c r="Z27" s="185">
        <v>16898.326966000001</v>
      </c>
      <c r="AA27" s="185">
        <v>27858.23</v>
      </c>
      <c r="AB27" s="185">
        <v>40846.35</v>
      </c>
      <c r="AC27" s="185">
        <v>51908.72</v>
      </c>
      <c r="AD27" s="185">
        <v>62135.86</v>
      </c>
      <c r="AE27" s="185">
        <v>73123</v>
      </c>
      <c r="AF27" s="186">
        <v>85138.77771200001</v>
      </c>
      <c r="AG27" s="172">
        <f>'2. Overall cum progress March14'!M27</f>
        <v>105426.50891199999</v>
      </c>
    </row>
    <row r="28" spans="1:33">
      <c r="A28" s="288" t="s">
        <v>251</v>
      </c>
      <c r="B28" s="189" t="s">
        <v>252</v>
      </c>
      <c r="C28" s="195">
        <v>0</v>
      </c>
      <c r="D28" s="193">
        <v>0</v>
      </c>
      <c r="E28" s="193">
        <v>0</v>
      </c>
      <c r="F28" s="193">
        <v>0</v>
      </c>
      <c r="G28" s="193">
        <v>0</v>
      </c>
      <c r="H28" s="193">
        <v>0</v>
      </c>
      <c r="I28" s="193">
        <v>0</v>
      </c>
      <c r="J28" s="193">
        <v>0</v>
      </c>
      <c r="K28" s="193">
        <v>0</v>
      </c>
      <c r="L28" s="193">
        <v>0</v>
      </c>
      <c r="M28" s="193">
        <v>0</v>
      </c>
      <c r="N28" s="193">
        <v>0</v>
      </c>
      <c r="O28" s="193">
        <v>0</v>
      </c>
      <c r="P28" s="193">
        <v>0</v>
      </c>
      <c r="Q28" s="193">
        <v>0</v>
      </c>
      <c r="R28" s="193">
        <v>0</v>
      </c>
      <c r="S28" s="193">
        <v>0</v>
      </c>
      <c r="T28" s="193">
        <v>0</v>
      </c>
      <c r="U28" s="193">
        <v>0</v>
      </c>
      <c r="V28" s="193">
        <v>0</v>
      </c>
      <c r="W28" s="193">
        <v>0</v>
      </c>
      <c r="X28" s="193">
        <v>0</v>
      </c>
      <c r="Y28" s="193">
        <v>0</v>
      </c>
      <c r="Z28" s="193">
        <v>0</v>
      </c>
      <c r="AA28" s="193">
        <v>764432</v>
      </c>
      <c r="AB28" s="193">
        <v>1058568</v>
      </c>
      <c r="AC28" s="193">
        <v>1349181</v>
      </c>
      <c r="AD28" s="193">
        <v>1680779.44</v>
      </c>
      <c r="AE28" s="193">
        <v>2068408</v>
      </c>
      <c r="AF28" s="177">
        <v>2520327.44</v>
      </c>
      <c r="AG28" s="172">
        <f>'2. Overall cum progress March14'!M28</f>
        <v>3235029</v>
      </c>
    </row>
    <row r="29" spans="1:33">
      <c r="A29" s="288"/>
      <c r="B29" s="189" t="s">
        <v>253</v>
      </c>
      <c r="C29" s="195">
        <v>0</v>
      </c>
      <c r="D29" s="193">
        <v>0</v>
      </c>
      <c r="E29" s="193"/>
      <c r="F29" s="193">
        <v>0</v>
      </c>
      <c r="G29" s="193">
        <v>0</v>
      </c>
      <c r="H29" s="193">
        <v>0</v>
      </c>
      <c r="I29" s="193">
        <v>0</v>
      </c>
      <c r="J29" s="193">
        <v>0</v>
      </c>
      <c r="K29" s="193">
        <v>0</v>
      </c>
      <c r="L29" s="193">
        <v>0</v>
      </c>
      <c r="M29" s="193">
        <v>0</v>
      </c>
      <c r="N29" s="193">
        <v>0</v>
      </c>
      <c r="O29" s="193">
        <v>0</v>
      </c>
      <c r="P29" s="193">
        <v>0</v>
      </c>
      <c r="Q29" s="193">
        <v>0</v>
      </c>
      <c r="R29" s="193">
        <v>0</v>
      </c>
      <c r="S29" s="193">
        <v>0</v>
      </c>
      <c r="T29" s="193">
        <v>0</v>
      </c>
      <c r="U29" s="193">
        <v>0</v>
      </c>
      <c r="V29" s="193">
        <v>0</v>
      </c>
      <c r="W29" s="193">
        <v>0</v>
      </c>
      <c r="X29" s="193">
        <v>0</v>
      </c>
      <c r="Y29" s="193">
        <v>0</v>
      </c>
      <c r="Z29" s="193">
        <v>0</v>
      </c>
      <c r="AA29" s="193">
        <v>1930568</v>
      </c>
      <c r="AB29" s="193">
        <v>2457015</v>
      </c>
      <c r="AC29" s="193">
        <v>2894800</v>
      </c>
      <c r="AD29" s="193">
        <v>3374000.56</v>
      </c>
      <c r="AE29" s="193">
        <v>3403007</v>
      </c>
      <c r="AF29" s="177">
        <v>3593574.56</v>
      </c>
      <c r="AG29" s="172">
        <f>'2. Overall cum progress March14'!M29</f>
        <v>3873066</v>
      </c>
    </row>
    <row r="30" spans="1:33">
      <c r="A30" s="288"/>
      <c r="B30" s="184" t="s">
        <v>16</v>
      </c>
      <c r="C30" s="196">
        <v>0</v>
      </c>
      <c r="D30" s="185">
        <v>0</v>
      </c>
      <c r="E30" s="185">
        <v>0</v>
      </c>
      <c r="F30" s="185">
        <v>0</v>
      </c>
      <c r="G30" s="185">
        <v>0</v>
      </c>
      <c r="H30" s="185">
        <v>0</v>
      </c>
      <c r="I30" s="185">
        <v>0</v>
      </c>
      <c r="J30" s="185">
        <v>0</v>
      </c>
      <c r="K30" s="185">
        <v>0</v>
      </c>
      <c r="L30" s="185">
        <v>0</v>
      </c>
      <c r="M30" s="185">
        <v>0</v>
      </c>
      <c r="N30" s="185">
        <v>0</v>
      </c>
      <c r="O30" s="185">
        <v>0</v>
      </c>
      <c r="P30" s="185">
        <v>0</v>
      </c>
      <c r="Q30" s="185">
        <v>0</v>
      </c>
      <c r="R30" s="185">
        <v>0</v>
      </c>
      <c r="S30" s="185">
        <v>0</v>
      </c>
      <c r="T30" s="185">
        <v>0</v>
      </c>
      <c r="U30" s="185">
        <v>0</v>
      </c>
      <c r="V30" s="185">
        <v>0</v>
      </c>
      <c r="W30" s="185">
        <v>0</v>
      </c>
      <c r="X30" s="185">
        <v>0</v>
      </c>
      <c r="Y30" s="185">
        <v>0</v>
      </c>
      <c r="Z30" s="185">
        <v>0</v>
      </c>
      <c r="AA30" s="185">
        <v>2695000</v>
      </c>
      <c r="AB30" s="185">
        <v>3515583</v>
      </c>
      <c r="AC30" s="197" t="s">
        <v>254</v>
      </c>
      <c r="AD30" s="185">
        <v>4954780</v>
      </c>
      <c r="AE30" s="185">
        <v>5471415</v>
      </c>
      <c r="AF30" s="186">
        <v>6113902</v>
      </c>
      <c r="AG30" s="172">
        <f>'2. Overall cum progress March14'!M30</f>
        <v>7108095</v>
      </c>
    </row>
    <row r="31" spans="1:33">
      <c r="A31" s="287" t="s">
        <v>305</v>
      </c>
      <c r="B31" s="182" t="s">
        <v>17</v>
      </c>
      <c r="C31" s="176">
        <v>0</v>
      </c>
      <c r="D31" s="176">
        <v>0</v>
      </c>
      <c r="E31" s="176">
        <v>0</v>
      </c>
      <c r="F31" s="176">
        <v>0</v>
      </c>
      <c r="G31" s="176">
        <v>0</v>
      </c>
      <c r="H31" s="176">
        <v>0</v>
      </c>
      <c r="I31" s="176">
        <v>0</v>
      </c>
      <c r="J31" s="176">
        <v>0</v>
      </c>
      <c r="K31" s="176">
        <v>0</v>
      </c>
      <c r="L31" s="176">
        <v>0</v>
      </c>
      <c r="M31" s="176">
        <v>0</v>
      </c>
      <c r="N31" s="176">
        <v>0</v>
      </c>
      <c r="O31" s="176">
        <v>0</v>
      </c>
      <c r="P31" s="176">
        <v>0</v>
      </c>
      <c r="Q31" s="176">
        <v>0</v>
      </c>
      <c r="R31" s="176">
        <v>0</v>
      </c>
      <c r="S31" s="176">
        <v>0</v>
      </c>
      <c r="T31" s="176">
        <v>0</v>
      </c>
      <c r="U31" s="176">
        <v>0</v>
      </c>
      <c r="V31" s="176">
        <v>0</v>
      </c>
      <c r="W31" s="176">
        <v>0</v>
      </c>
      <c r="X31" s="176">
        <v>0</v>
      </c>
      <c r="Y31" s="176">
        <v>0</v>
      </c>
      <c r="Z31" s="176">
        <v>42078</v>
      </c>
      <c r="AA31" s="176">
        <v>121835</v>
      </c>
      <c r="AB31" s="176">
        <v>326617</v>
      </c>
      <c r="AC31" s="176">
        <v>1057470</v>
      </c>
      <c r="AD31" s="176">
        <v>1592331</v>
      </c>
      <c r="AE31" s="176">
        <v>2068408</v>
      </c>
      <c r="AF31" s="177">
        <v>971319.44</v>
      </c>
      <c r="AG31" s="172">
        <f>'2. Overall cum progress March14'!M31</f>
        <v>1246039</v>
      </c>
    </row>
    <row r="32" spans="1:33">
      <c r="A32" s="287"/>
      <c r="B32" s="183" t="s">
        <v>18</v>
      </c>
      <c r="C32" s="176">
        <v>0</v>
      </c>
      <c r="D32" s="176">
        <v>0</v>
      </c>
      <c r="E32" s="176">
        <v>0</v>
      </c>
      <c r="F32" s="176">
        <v>0</v>
      </c>
      <c r="G32" s="176">
        <v>0</v>
      </c>
      <c r="H32" s="176">
        <v>0</v>
      </c>
      <c r="I32" s="176">
        <v>0</v>
      </c>
      <c r="J32" s="176">
        <v>0</v>
      </c>
      <c r="K32" s="176">
        <v>0</v>
      </c>
      <c r="L32" s="176">
        <v>0</v>
      </c>
      <c r="M32" s="176">
        <v>0</v>
      </c>
      <c r="N32" s="176">
        <v>0</v>
      </c>
      <c r="O32" s="176">
        <v>0</v>
      </c>
      <c r="P32" s="176">
        <v>0</v>
      </c>
      <c r="Q32" s="176">
        <v>0</v>
      </c>
      <c r="R32" s="176">
        <v>0</v>
      </c>
      <c r="S32" s="176">
        <v>0</v>
      </c>
      <c r="T32" s="176">
        <v>0</v>
      </c>
      <c r="U32" s="176">
        <v>0</v>
      </c>
      <c r="V32" s="176">
        <v>0</v>
      </c>
      <c r="W32" s="176">
        <v>0</v>
      </c>
      <c r="X32" s="176">
        <v>0</v>
      </c>
      <c r="Y32" s="176">
        <v>0</v>
      </c>
      <c r="Z32" s="176">
        <v>121409</v>
      </c>
      <c r="AA32" s="176">
        <v>344939</v>
      </c>
      <c r="AB32" s="176">
        <v>1016890</v>
      </c>
      <c r="AC32" s="176">
        <v>1629375</v>
      </c>
      <c r="AD32" s="176">
        <v>2450815</v>
      </c>
      <c r="AE32" s="176">
        <v>3403007</v>
      </c>
      <c r="AF32" s="177">
        <v>2529821.56</v>
      </c>
      <c r="AG32" s="172">
        <f>'2. Overall cum progress March14'!M32</f>
        <v>2696739</v>
      </c>
    </row>
    <row r="33" spans="1:33">
      <c r="A33" s="287"/>
      <c r="B33" s="184" t="s">
        <v>16</v>
      </c>
      <c r="C33" s="185">
        <v>0</v>
      </c>
      <c r="D33" s="185">
        <v>0</v>
      </c>
      <c r="E33" s="185">
        <v>0</v>
      </c>
      <c r="F33" s="185">
        <v>0</v>
      </c>
      <c r="G33" s="185">
        <v>0</v>
      </c>
      <c r="H33" s="185">
        <v>0</v>
      </c>
      <c r="I33" s="185">
        <v>0</v>
      </c>
      <c r="J33" s="185">
        <v>0</v>
      </c>
      <c r="K33" s="185">
        <v>0</v>
      </c>
      <c r="L33" s="185">
        <v>0</v>
      </c>
      <c r="M33" s="185">
        <v>0</v>
      </c>
      <c r="N33" s="185">
        <v>0</v>
      </c>
      <c r="O33" s="185">
        <v>0</v>
      </c>
      <c r="P33" s="185">
        <v>0</v>
      </c>
      <c r="Q33" s="185">
        <v>0</v>
      </c>
      <c r="R33" s="185">
        <v>0</v>
      </c>
      <c r="S33" s="185">
        <v>0</v>
      </c>
      <c r="T33" s="185">
        <v>0</v>
      </c>
      <c r="U33" s="185">
        <v>0</v>
      </c>
      <c r="V33" s="185">
        <v>0</v>
      </c>
      <c r="W33" s="185">
        <v>0</v>
      </c>
      <c r="X33" s="185">
        <v>0</v>
      </c>
      <c r="Y33" s="185">
        <v>0</v>
      </c>
      <c r="Z33" s="185">
        <v>163487</v>
      </c>
      <c r="AA33" s="185">
        <v>466774</v>
      </c>
      <c r="AB33" s="185">
        <v>1343507</v>
      </c>
      <c r="AC33" s="185">
        <v>2686845</v>
      </c>
      <c r="AD33" s="185">
        <v>4043146</v>
      </c>
      <c r="AE33" s="185">
        <v>5471415</v>
      </c>
      <c r="AF33" s="186">
        <v>3501141</v>
      </c>
      <c r="AG33" s="172">
        <f>'2. Overall cum progress March14'!M33</f>
        <v>3942778</v>
      </c>
    </row>
    <row r="34" spans="1:33">
      <c r="A34" s="290" t="s">
        <v>306</v>
      </c>
      <c r="B34" s="290"/>
      <c r="C34" s="198">
        <v>80</v>
      </c>
      <c r="D34" s="176">
        <v>229</v>
      </c>
      <c r="E34" s="176">
        <v>328</v>
      </c>
      <c r="F34" s="176">
        <v>421</v>
      </c>
      <c r="G34" s="176">
        <v>585</v>
      </c>
      <c r="H34" s="176">
        <v>770</v>
      </c>
      <c r="I34" s="176">
        <v>912</v>
      </c>
      <c r="J34" s="176">
        <v>1077</v>
      </c>
      <c r="K34" s="176">
        <v>1244</v>
      </c>
      <c r="L34" s="176">
        <v>1387</v>
      </c>
      <c r="M34" s="176">
        <v>1499</v>
      </c>
      <c r="N34" s="176">
        <v>1623</v>
      </c>
      <c r="O34" s="176">
        <v>1830</v>
      </c>
      <c r="P34" s="176">
        <v>2376</v>
      </c>
      <c r="Q34" s="176">
        <v>2882</v>
      </c>
      <c r="R34" s="176">
        <v>3612</v>
      </c>
      <c r="S34" s="176">
        <v>6078</v>
      </c>
      <c r="T34" s="176">
        <v>9630</v>
      </c>
      <c r="U34" s="176">
        <v>11998</v>
      </c>
      <c r="V34" s="176">
        <v>18053</v>
      </c>
      <c r="W34" s="176">
        <v>29325</v>
      </c>
      <c r="X34" s="176">
        <v>43505</v>
      </c>
      <c r="Y34" s="176">
        <v>55524</v>
      </c>
      <c r="Z34" s="176">
        <v>64889</v>
      </c>
      <c r="AA34" s="176">
        <v>74731</v>
      </c>
      <c r="AB34" s="176">
        <v>79726</v>
      </c>
      <c r="AC34" s="176">
        <v>84601</v>
      </c>
      <c r="AD34" s="176">
        <v>92686</v>
      </c>
      <c r="AE34" s="176">
        <v>130829</v>
      </c>
      <c r="AF34" s="177">
        <v>140993</v>
      </c>
      <c r="AG34" s="172">
        <f>'2. Overall cum progress March14'!M38</f>
        <v>149267</v>
      </c>
    </row>
    <row r="35" spans="1:33">
      <c r="A35" s="290" t="s">
        <v>255</v>
      </c>
      <c r="B35" s="290"/>
      <c r="C35" s="188">
        <v>9300</v>
      </c>
      <c r="D35" s="176">
        <v>22980</v>
      </c>
      <c r="E35" s="176">
        <v>27838</v>
      </c>
      <c r="F35" s="176">
        <v>32566</v>
      </c>
      <c r="G35" s="176">
        <v>41677</v>
      </c>
      <c r="H35" s="176">
        <v>49725</v>
      </c>
      <c r="I35" s="176">
        <v>53760</v>
      </c>
      <c r="J35" s="176">
        <v>63440</v>
      </c>
      <c r="K35" s="176">
        <v>70315</v>
      </c>
      <c r="L35" s="176">
        <v>81782</v>
      </c>
      <c r="M35" s="176">
        <v>88403</v>
      </c>
      <c r="N35" s="176">
        <v>96635</v>
      </c>
      <c r="O35" s="176">
        <v>112501</v>
      </c>
      <c r="P35" s="176">
        <v>163705</v>
      </c>
      <c r="Q35" s="176">
        <v>219039</v>
      </c>
      <c r="R35" s="176">
        <v>303201</v>
      </c>
      <c r="S35" s="176">
        <v>380257</v>
      </c>
      <c r="T35" s="176">
        <v>432105</v>
      </c>
      <c r="U35" s="176">
        <v>529762</v>
      </c>
      <c r="V35" s="176">
        <v>924178</v>
      </c>
      <c r="W35" s="176">
        <v>1094475</v>
      </c>
      <c r="X35" s="176">
        <v>1477441</v>
      </c>
      <c r="Y35" s="176">
        <v>1697088</v>
      </c>
      <c r="Z35" s="176">
        <v>1972833</v>
      </c>
      <c r="AA35" s="176">
        <v>2089861</v>
      </c>
      <c r="AB35" s="176">
        <v>2716561</v>
      </c>
      <c r="AC35" s="176">
        <v>2963639</v>
      </c>
      <c r="AD35" s="176">
        <v>3566645</v>
      </c>
      <c r="AE35" s="176">
        <v>4181600</v>
      </c>
      <c r="AF35" s="177">
        <v>4258376</v>
      </c>
      <c r="AG35" s="172">
        <f>'2. Overall cum progress March14'!M40</f>
        <v>4596603</v>
      </c>
    </row>
    <row r="36" spans="1:33">
      <c r="A36" s="291" t="s">
        <v>307</v>
      </c>
      <c r="B36" s="291"/>
      <c r="C36" s="199">
        <v>9.5</v>
      </c>
      <c r="D36" s="176">
        <v>28.82</v>
      </c>
      <c r="E36" s="176">
        <v>47.5</v>
      </c>
      <c r="F36" s="176">
        <v>65.12</v>
      </c>
      <c r="G36" s="176">
        <v>90.87</v>
      </c>
      <c r="H36" s="176">
        <v>124.28</v>
      </c>
      <c r="I36" s="176">
        <v>151</v>
      </c>
      <c r="J36" s="176">
        <v>189.054</v>
      </c>
      <c r="K36" s="176">
        <v>223.26499999999999</v>
      </c>
      <c r="L36" s="176">
        <v>252.05999999999997</v>
      </c>
      <c r="M36" s="176">
        <v>278.82417199999998</v>
      </c>
      <c r="N36" s="176">
        <v>306.35615199999995</v>
      </c>
      <c r="O36" s="176">
        <v>369.96915199999995</v>
      </c>
      <c r="P36" s="176">
        <v>462.86128099999996</v>
      </c>
      <c r="Q36" s="176">
        <v>610.54608699999994</v>
      </c>
      <c r="R36" s="176">
        <v>822.72373299999992</v>
      </c>
      <c r="S36" s="176">
        <v>1052.7613690000001</v>
      </c>
      <c r="T36" s="176">
        <v>1328.491342</v>
      </c>
      <c r="U36" s="176">
        <v>1636.4943720000001</v>
      </c>
      <c r="V36" s="176">
        <v>2310.2607330000001</v>
      </c>
      <c r="W36" s="176">
        <v>2775.4692789999999</v>
      </c>
      <c r="X36" s="176">
        <v>3825.75</v>
      </c>
      <c r="Y36" s="176">
        <v>4412.9717760000003</v>
      </c>
      <c r="Z36" s="176">
        <v>5698.9876720000002</v>
      </c>
      <c r="AA36" s="176">
        <v>7761.45</v>
      </c>
      <c r="AB36" s="176">
        <v>9194.25</v>
      </c>
      <c r="AC36" s="176">
        <v>10955.06</v>
      </c>
      <c r="AD36" s="176">
        <v>12171.84</v>
      </c>
      <c r="AE36" s="176">
        <v>16365</v>
      </c>
      <c r="AF36" s="177">
        <v>17467.013999999999</v>
      </c>
      <c r="AG36" s="172">
        <f>'2. Overall cum progress March14'!M42</f>
        <v>19214.742069</v>
      </c>
    </row>
    <row r="37" spans="1:33">
      <c r="A37" s="289" t="s">
        <v>23</v>
      </c>
      <c r="B37" s="289" t="s">
        <v>24</v>
      </c>
      <c r="C37" s="200">
        <v>0</v>
      </c>
      <c r="D37" s="176">
        <v>0</v>
      </c>
      <c r="E37" s="176">
        <v>0</v>
      </c>
      <c r="F37" s="176">
        <v>0</v>
      </c>
      <c r="G37" s="176">
        <v>0</v>
      </c>
      <c r="H37" s="176">
        <v>0</v>
      </c>
      <c r="I37" s="176">
        <v>0</v>
      </c>
      <c r="J37" s="176">
        <v>0</v>
      </c>
      <c r="K37" s="176">
        <v>0</v>
      </c>
      <c r="L37" s="176">
        <v>0</v>
      </c>
      <c r="M37" s="176">
        <v>28</v>
      </c>
      <c r="N37" s="176">
        <v>63</v>
      </c>
      <c r="O37" s="176">
        <v>63</v>
      </c>
      <c r="P37" s="176">
        <v>90</v>
      </c>
      <c r="Q37" s="176">
        <v>151</v>
      </c>
      <c r="R37" s="176">
        <v>248</v>
      </c>
      <c r="S37" s="176">
        <v>280</v>
      </c>
      <c r="T37" s="176">
        <v>358</v>
      </c>
      <c r="U37" s="176">
        <v>368</v>
      </c>
      <c r="V37" s="176">
        <v>375</v>
      </c>
      <c r="W37" s="176">
        <v>387</v>
      </c>
      <c r="X37" s="176">
        <v>616</v>
      </c>
      <c r="Y37" s="176">
        <v>1414</v>
      </c>
      <c r="Z37" s="176">
        <v>1507</v>
      </c>
      <c r="AA37" s="176">
        <v>1674</v>
      </c>
      <c r="AB37" s="176">
        <v>1475</v>
      </c>
      <c r="AC37" s="176">
        <v>1446</v>
      </c>
      <c r="AD37" s="176">
        <v>1902</v>
      </c>
      <c r="AE37" s="176">
        <v>1895</v>
      </c>
      <c r="AF37" s="177">
        <v>2312</v>
      </c>
      <c r="AG37" s="172">
        <f>'2. Overall cum progress March14'!M43</f>
        <v>2331</v>
      </c>
    </row>
    <row r="38" spans="1:33">
      <c r="A38" s="287" t="s">
        <v>25</v>
      </c>
      <c r="B38" s="182" t="s">
        <v>24</v>
      </c>
      <c r="C38" s="176">
        <v>0</v>
      </c>
      <c r="D38" s="176">
        <v>0</v>
      </c>
      <c r="E38" s="176">
        <v>0</v>
      </c>
      <c r="F38" s="176">
        <v>0</v>
      </c>
      <c r="G38" s="176">
        <v>0</v>
      </c>
      <c r="H38" s="176">
        <v>0</v>
      </c>
      <c r="I38" s="176">
        <v>0</v>
      </c>
      <c r="J38" s="176">
        <v>0</v>
      </c>
      <c r="K38" s="176">
        <v>0</v>
      </c>
      <c r="L38" s="176">
        <v>0</v>
      </c>
      <c r="M38" s="176">
        <v>571</v>
      </c>
      <c r="N38" s="176">
        <v>1114</v>
      </c>
      <c r="O38" s="176">
        <v>1114</v>
      </c>
      <c r="P38" s="176">
        <v>1528</v>
      </c>
      <c r="Q38" s="176">
        <v>2371</v>
      </c>
      <c r="R38" s="176">
        <v>4698</v>
      </c>
      <c r="S38" s="176">
        <v>5433</v>
      </c>
      <c r="T38" s="176">
        <v>7029</v>
      </c>
      <c r="U38" s="176">
        <v>10172</v>
      </c>
      <c r="V38" s="176">
        <v>12667</v>
      </c>
      <c r="W38" s="176">
        <v>15676</v>
      </c>
      <c r="X38" s="176">
        <v>22391</v>
      </c>
      <c r="Y38" s="176">
        <v>30193</v>
      </c>
      <c r="Z38" s="176">
        <v>32322</v>
      </c>
      <c r="AA38" s="176">
        <v>26228</v>
      </c>
      <c r="AB38" s="176">
        <v>27655</v>
      </c>
      <c r="AC38" s="176">
        <v>22516</v>
      </c>
      <c r="AD38" s="176">
        <v>23533</v>
      </c>
      <c r="AE38" s="176">
        <v>23867</v>
      </c>
      <c r="AF38" s="177">
        <v>42218</v>
      </c>
      <c r="AG38" s="172">
        <f>'2. Overall cum progress March14'!M44</f>
        <v>43046</v>
      </c>
    </row>
    <row r="39" spans="1:33">
      <c r="A39" s="287"/>
      <c r="B39" s="183" t="s">
        <v>26</v>
      </c>
      <c r="C39" s="176">
        <v>0</v>
      </c>
      <c r="D39" s="176">
        <v>0</v>
      </c>
      <c r="E39" s="176">
        <v>0</v>
      </c>
      <c r="F39" s="176">
        <v>0</v>
      </c>
      <c r="G39" s="176">
        <v>0</v>
      </c>
      <c r="H39" s="176">
        <v>0</v>
      </c>
      <c r="I39" s="176">
        <v>0</v>
      </c>
      <c r="J39" s="176">
        <v>0</v>
      </c>
      <c r="K39" s="176">
        <v>0</v>
      </c>
      <c r="L39" s="176">
        <v>0</v>
      </c>
      <c r="M39" s="176">
        <v>277</v>
      </c>
      <c r="N39" s="176">
        <v>729</v>
      </c>
      <c r="O39" s="176">
        <v>729</v>
      </c>
      <c r="P39" s="176">
        <v>883</v>
      </c>
      <c r="Q39" s="176">
        <v>1942</v>
      </c>
      <c r="R39" s="176">
        <v>4309</v>
      </c>
      <c r="S39" s="176">
        <v>4972</v>
      </c>
      <c r="T39" s="176">
        <v>8636</v>
      </c>
      <c r="U39" s="176">
        <v>9094</v>
      </c>
      <c r="V39" s="176">
        <v>10382</v>
      </c>
      <c r="W39" s="176">
        <v>11667</v>
      </c>
      <c r="X39" s="176">
        <v>17327</v>
      </c>
      <c r="Y39" s="176">
        <v>17608</v>
      </c>
      <c r="Z39" s="176">
        <v>17845</v>
      </c>
      <c r="AA39" s="176">
        <v>27630</v>
      </c>
      <c r="AB39" s="176">
        <v>29479</v>
      </c>
      <c r="AC39" s="176">
        <v>26861</v>
      </c>
      <c r="AD39" s="176">
        <v>28547</v>
      </c>
      <c r="AE39" s="176">
        <v>27035</v>
      </c>
      <c r="AF39" s="177">
        <v>46426</v>
      </c>
      <c r="AG39" s="172">
        <f>'2. Overall cum progress March14'!M45</f>
        <v>47757</v>
      </c>
    </row>
    <row r="40" spans="1:33">
      <c r="A40" s="287"/>
      <c r="B40" s="184" t="s">
        <v>16</v>
      </c>
      <c r="C40" s="185">
        <v>0</v>
      </c>
      <c r="D40" s="185">
        <v>0</v>
      </c>
      <c r="E40" s="185">
        <v>0</v>
      </c>
      <c r="F40" s="185">
        <v>0</v>
      </c>
      <c r="G40" s="185">
        <v>0</v>
      </c>
      <c r="H40" s="185">
        <v>0</v>
      </c>
      <c r="I40" s="185">
        <v>0</v>
      </c>
      <c r="J40" s="185">
        <v>0</v>
      </c>
      <c r="K40" s="185">
        <v>0</v>
      </c>
      <c r="L40" s="185">
        <v>0</v>
      </c>
      <c r="M40" s="185">
        <v>848</v>
      </c>
      <c r="N40" s="185">
        <v>1843</v>
      </c>
      <c r="O40" s="185">
        <v>1843</v>
      </c>
      <c r="P40" s="185">
        <v>2411</v>
      </c>
      <c r="Q40" s="185">
        <v>4313</v>
      </c>
      <c r="R40" s="185">
        <v>9007</v>
      </c>
      <c r="S40" s="185">
        <v>10405</v>
      </c>
      <c r="T40" s="185">
        <v>15665</v>
      </c>
      <c r="U40" s="185">
        <v>19266</v>
      </c>
      <c r="V40" s="185">
        <v>23049</v>
      </c>
      <c r="W40" s="185">
        <v>27343</v>
      </c>
      <c r="X40" s="185">
        <v>39718</v>
      </c>
      <c r="Y40" s="185">
        <v>47801</v>
      </c>
      <c r="Z40" s="185">
        <v>50167</v>
      </c>
      <c r="AA40" s="185">
        <v>53858</v>
      </c>
      <c r="AB40" s="185">
        <v>57134</v>
      </c>
      <c r="AC40" s="185">
        <v>49377</v>
      </c>
      <c r="AD40" s="185">
        <v>52080</v>
      </c>
      <c r="AE40" s="185">
        <v>50902</v>
      </c>
      <c r="AF40" s="186">
        <v>88644</v>
      </c>
      <c r="AG40" s="172">
        <f>'2. Overall cum progress March14'!M46</f>
        <v>90803</v>
      </c>
    </row>
    <row r="41" spans="1:33">
      <c r="A41" s="287" t="s">
        <v>294</v>
      </c>
      <c r="B41" s="182" t="s">
        <v>17</v>
      </c>
      <c r="C41" s="176">
        <v>0</v>
      </c>
      <c r="D41" s="176">
        <v>0</v>
      </c>
      <c r="E41" s="176">
        <v>0</v>
      </c>
      <c r="F41" s="176">
        <v>0</v>
      </c>
      <c r="G41" s="176">
        <v>0</v>
      </c>
      <c r="H41" s="176">
        <v>0</v>
      </c>
      <c r="I41" s="176">
        <v>0</v>
      </c>
      <c r="J41" s="176">
        <v>0</v>
      </c>
      <c r="K41" s="176">
        <v>0</v>
      </c>
      <c r="L41" s="176">
        <v>0</v>
      </c>
      <c r="M41" s="176">
        <v>0</v>
      </c>
      <c r="N41" s="176">
        <v>37</v>
      </c>
      <c r="O41" s="176">
        <v>37</v>
      </c>
      <c r="P41" s="176">
        <v>45</v>
      </c>
      <c r="Q41" s="176">
        <v>78</v>
      </c>
      <c r="R41" s="176">
        <v>120</v>
      </c>
      <c r="S41" s="176">
        <v>245</v>
      </c>
      <c r="T41" s="176">
        <v>367</v>
      </c>
      <c r="U41" s="176">
        <v>594</v>
      </c>
      <c r="V41" s="176">
        <v>652</v>
      </c>
      <c r="W41" s="176">
        <v>1220</v>
      </c>
      <c r="X41" s="176">
        <v>1666</v>
      </c>
      <c r="Y41" s="176">
        <v>2312</v>
      </c>
      <c r="Z41" s="176">
        <v>2546</v>
      </c>
      <c r="AA41" s="176">
        <v>3658</v>
      </c>
      <c r="AB41" s="176">
        <v>2116</v>
      </c>
      <c r="AC41" s="176">
        <v>19842</v>
      </c>
      <c r="AD41" s="176">
        <v>19842</v>
      </c>
      <c r="AE41" s="176">
        <v>23001</v>
      </c>
      <c r="AF41" s="177">
        <v>22943</v>
      </c>
      <c r="AG41" s="172">
        <f>'2. Overall cum progress March14'!M47</f>
        <v>26234</v>
      </c>
    </row>
    <row r="42" spans="1:33">
      <c r="A42" s="287"/>
      <c r="B42" s="183" t="s">
        <v>18</v>
      </c>
      <c r="C42" s="176">
        <v>0</v>
      </c>
      <c r="D42" s="176">
        <v>0</v>
      </c>
      <c r="E42" s="176">
        <v>0</v>
      </c>
      <c r="F42" s="176">
        <v>0</v>
      </c>
      <c r="G42" s="176">
        <v>0</v>
      </c>
      <c r="H42" s="176">
        <v>0</v>
      </c>
      <c r="I42" s="176">
        <v>0</v>
      </c>
      <c r="J42" s="176">
        <v>0</v>
      </c>
      <c r="K42" s="176">
        <v>0</v>
      </c>
      <c r="L42" s="176">
        <v>0</v>
      </c>
      <c r="M42" s="176">
        <v>2</v>
      </c>
      <c r="N42" s="176">
        <v>26</v>
      </c>
      <c r="O42" s="176">
        <v>26</v>
      </c>
      <c r="P42" s="176">
        <v>47</v>
      </c>
      <c r="Q42" s="176">
        <v>78</v>
      </c>
      <c r="R42" s="176">
        <v>163</v>
      </c>
      <c r="S42" s="176">
        <v>292</v>
      </c>
      <c r="T42" s="176">
        <v>389</v>
      </c>
      <c r="U42" s="176">
        <v>563</v>
      </c>
      <c r="V42" s="176">
        <v>621</v>
      </c>
      <c r="W42" s="176">
        <v>690</v>
      </c>
      <c r="X42" s="176">
        <v>881</v>
      </c>
      <c r="Y42" s="176">
        <v>1141</v>
      </c>
      <c r="Z42" s="176">
        <v>1197</v>
      </c>
      <c r="AA42" s="176">
        <v>1796</v>
      </c>
      <c r="AB42" s="176">
        <v>704</v>
      </c>
      <c r="AC42" s="176">
        <v>2076</v>
      </c>
      <c r="AD42" s="176">
        <v>2076</v>
      </c>
      <c r="AE42" s="176">
        <v>2532</v>
      </c>
      <c r="AF42" s="177">
        <v>2532</v>
      </c>
      <c r="AG42" s="172">
        <f>'2. Overall cum progress March14'!M48</f>
        <v>3216</v>
      </c>
    </row>
    <row r="43" spans="1:33">
      <c r="A43" s="287"/>
      <c r="B43" s="184" t="s">
        <v>16</v>
      </c>
      <c r="C43" s="185">
        <v>0</v>
      </c>
      <c r="D43" s="185">
        <v>0</v>
      </c>
      <c r="E43" s="185">
        <v>0</v>
      </c>
      <c r="F43" s="185">
        <v>0</v>
      </c>
      <c r="G43" s="185">
        <v>0</v>
      </c>
      <c r="H43" s="185">
        <v>0</v>
      </c>
      <c r="I43" s="185">
        <v>0</v>
      </c>
      <c r="J43" s="185">
        <v>0</v>
      </c>
      <c r="K43" s="185">
        <v>0</v>
      </c>
      <c r="L43" s="185">
        <v>0</v>
      </c>
      <c r="M43" s="185">
        <v>2</v>
      </c>
      <c r="N43" s="185">
        <v>63</v>
      </c>
      <c r="O43" s="185">
        <v>63</v>
      </c>
      <c r="P43" s="185">
        <v>92</v>
      </c>
      <c r="Q43" s="185">
        <v>156</v>
      </c>
      <c r="R43" s="185">
        <v>283</v>
      </c>
      <c r="S43" s="185">
        <v>537</v>
      </c>
      <c r="T43" s="185">
        <v>756</v>
      </c>
      <c r="U43" s="185">
        <v>1157</v>
      </c>
      <c r="V43" s="185">
        <v>1273</v>
      </c>
      <c r="W43" s="185">
        <v>1910</v>
      </c>
      <c r="X43" s="185">
        <v>2547</v>
      </c>
      <c r="Y43" s="185">
        <v>3453</v>
      </c>
      <c r="Z43" s="185">
        <v>3743</v>
      </c>
      <c r="AA43" s="185">
        <v>5454</v>
      </c>
      <c r="AB43" s="185">
        <v>2820</v>
      </c>
      <c r="AC43" s="185">
        <v>21918</v>
      </c>
      <c r="AD43" s="185">
        <v>21918</v>
      </c>
      <c r="AE43" s="185">
        <v>25533</v>
      </c>
      <c r="AF43" s="186">
        <v>25475</v>
      </c>
      <c r="AG43" s="172">
        <f>'2. Overall cum progress March14'!M49</f>
        <v>29450</v>
      </c>
    </row>
    <row r="44" spans="1:33">
      <c r="A44" s="287" t="s">
        <v>295</v>
      </c>
      <c r="B44" s="182" t="s">
        <v>17</v>
      </c>
      <c r="C44" s="176">
        <v>0</v>
      </c>
      <c r="D44" s="176">
        <v>0</v>
      </c>
      <c r="E44" s="176">
        <v>0</v>
      </c>
      <c r="F44" s="176">
        <v>0</v>
      </c>
      <c r="G44" s="176">
        <v>0</v>
      </c>
      <c r="H44" s="176">
        <v>0</v>
      </c>
      <c r="I44" s="176">
        <v>0</v>
      </c>
      <c r="J44" s="176">
        <v>0</v>
      </c>
      <c r="K44" s="176">
        <v>0</v>
      </c>
      <c r="L44" s="176">
        <v>0</v>
      </c>
      <c r="M44" s="176">
        <v>8</v>
      </c>
      <c r="N44" s="176">
        <v>101</v>
      </c>
      <c r="O44" s="176">
        <v>101</v>
      </c>
      <c r="P44" s="176">
        <v>230</v>
      </c>
      <c r="Q44" s="176">
        <v>293</v>
      </c>
      <c r="R44" s="176">
        <v>392</v>
      </c>
      <c r="S44" s="176">
        <v>882</v>
      </c>
      <c r="T44" s="176">
        <v>2696</v>
      </c>
      <c r="U44" s="176">
        <v>7123</v>
      </c>
      <c r="V44" s="176">
        <v>8119</v>
      </c>
      <c r="W44" s="176">
        <v>9393</v>
      </c>
      <c r="X44" s="176">
        <v>10091</v>
      </c>
      <c r="Y44" s="176">
        <v>11013</v>
      </c>
      <c r="Z44" s="176">
        <v>11184</v>
      </c>
      <c r="AA44" s="176">
        <v>12660</v>
      </c>
      <c r="AB44" s="176">
        <v>12908</v>
      </c>
      <c r="AC44" s="176">
        <v>13543</v>
      </c>
      <c r="AD44" s="176">
        <v>14610</v>
      </c>
      <c r="AE44" s="176">
        <v>19006</v>
      </c>
      <c r="AF44" s="177">
        <v>21132</v>
      </c>
      <c r="AG44" s="172">
        <f>'2. Overall cum progress March14'!M50</f>
        <v>21772</v>
      </c>
    </row>
    <row r="45" spans="1:33">
      <c r="A45" s="287"/>
      <c r="B45" s="183" t="s">
        <v>18</v>
      </c>
      <c r="C45" s="176">
        <v>0</v>
      </c>
      <c r="D45" s="176">
        <v>0</v>
      </c>
      <c r="E45" s="176">
        <v>0</v>
      </c>
      <c r="F45" s="176">
        <v>0</v>
      </c>
      <c r="G45" s="176">
        <v>0</v>
      </c>
      <c r="H45" s="176">
        <v>0</v>
      </c>
      <c r="I45" s="176">
        <v>0</v>
      </c>
      <c r="J45" s="176">
        <v>0</v>
      </c>
      <c r="K45" s="176">
        <v>0</v>
      </c>
      <c r="L45" s="176">
        <v>0</v>
      </c>
      <c r="M45" s="176">
        <v>0</v>
      </c>
      <c r="N45" s="176">
        <v>0</v>
      </c>
      <c r="O45" s="176">
        <v>0</v>
      </c>
      <c r="P45" s="176">
        <v>0</v>
      </c>
      <c r="Q45" s="176">
        <v>0</v>
      </c>
      <c r="R45" s="176">
        <v>0</v>
      </c>
      <c r="S45" s="176">
        <v>22</v>
      </c>
      <c r="T45" s="176">
        <v>287</v>
      </c>
      <c r="U45" s="176">
        <v>313</v>
      </c>
      <c r="V45" s="176">
        <v>564</v>
      </c>
      <c r="W45" s="176">
        <v>805</v>
      </c>
      <c r="X45" s="176">
        <v>1747</v>
      </c>
      <c r="Y45" s="176">
        <v>1768</v>
      </c>
      <c r="Z45" s="176">
        <v>1768</v>
      </c>
      <c r="AA45" s="176">
        <v>2342</v>
      </c>
      <c r="AB45" s="176">
        <v>2342</v>
      </c>
      <c r="AC45" s="176">
        <v>2342</v>
      </c>
      <c r="AD45" s="176">
        <v>2342</v>
      </c>
      <c r="AE45" s="176">
        <v>2912</v>
      </c>
      <c r="AF45" s="177">
        <v>2912</v>
      </c>
      <c r="AG45" s="172">
        <f>'2. Overall cum progress March14'!M51</f>
        <v>2912</v>
      </c>
    </row>
    <row r="46" spans="1:33">
      <c r="A46" s="287"/>
      <c r="B46" s="184" t="s">
        <v>16</v>
      </c>
      <c r="C46" s="185">
        <v>0</v>
      </c>
      <c r="D46" s="185">
        <v>0</v>
      </c>
      <c r="E46" s="185">
        <v>0</v>
      </c>
      <c r="F46" s="185">
        <v>0</v>
      </c>
      <c r="G46" s="185">
        <v>0</v>
      </c>
      <c r="H46" s="185">
        <v>0</v>
      </c>
      <c r="I46" s="185">
        <v>0</v>
      </c>
      <c r="J46" s="185">
        <v>0</v>
      </c>
      <c r="K46" s="185">
        <v>0</v>
      </c>
      <c r="L46" s="185">
        <v>0</v>
      </c>
      <c r="M46" s="185">
        <v>8</v>
      </c>
      <c r="N46" s="185">
        <v>101</v>
      </c>
      <c r="O46" s="185">
        <v>101</v>
      </c>
      <c r="P46" s="185">
        <v>230</v>
      </c>
      <c r="Q46" s="185">
        <v>293</v>
      </c>
      <c r="R46" s="185">
        <v>392</v>
      </c>
      <c r="S46" s="185">
        <v>904</v>
      </c>
      <c r="T46" s="185">
        <v>2983</v>
      </c>
      <c r="U46" s="185">
        <v>7436</v>
      </c>
      <c r="V46" s="185">
        <v>8683</v>
      </c>
      <c r="W46" s="185">
        <v>10198</v>
      </c>
      <c r="X46" s="185">
        <v>11838</v>
      </c>
      <c r="Y46" s="185">
        <v>12781</v>
      </c>
      <c r="Z46" s="185">
        <v>12952</v>
      </c>
      <c r="AA46" s="185">
        <v>15002</v>
      </c>
      <c r="AB46" s="185">
        <v>15250</v>
      </c>
      <c r="AC46" s="185">
        <v>15885</v>
      </c>
      <c r="AD46" s="185">
        <v>17084</v>
      </c>
      <c r="AE46" s="185">
        <v>21918</v>
      </c>
      <c r="AF46" s="186">
        <v>24044</v>
      </c>
      <c r="AG46" s="172">
        <f>'2. Overall cum progress March14'!M52</f>
        <v>24684</v>
      </c>
    </row>
  </sheetData>
  <mergeCells count="16">
    <mergeCell ref="A37:B37"/>
    <mergeCell ref="A38:A40"/>
    <mergeCell ref="A41:A43"/>
    <mergeCell ref="A44:A46"/>
    <mergeCell ref="A25:A27"/>
    <mergeCell ref="A28:A30"/>
    <mergeCell ref="A31:A33"/>
    <mergeCell ref="A34:B34"/>
    <mergeCell ref="A35:B35"/>
    <mergeCell ref="A36:B36"/>
    <mergeCell ref="A21:A24"/>
    <mergeCell ref="A3:B3"/>
    <mergeCell ref="A8:A11"/>
    <mergeCell ref="A12:A14"/>
    <mergeCell ref="A15:A17"/>
    <mergeCell ref="A18:A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96"/>
  <sheetViews>
    <sheetView workbookViewId="0">
      <selection sqref="A1:B1"/>
    </sheetView>
  </sheetViews>
  <sheetFormatPr defaultRowHeight="15"/>
  <cols>
    <col min="1" max="1" width="9.140625" style="172"/>
    <col min="2" max="2" width="17.85546875" style="172" customWidth="1"/>
    <col min="3" max="3" width="11.28515625" style="172" bestFit="1" customWidth="1"/>
    <col min="4" max="4" width="11.5703125" style="172" bestFit="1" customWidth="1"/>
    <col min="5" max="5" width="13.42578125" style="172" bestFit="1" customWidth="1"/>
    <col min="6" max="16384" width="9.140625" style="172"/>
  </cols>
  <sheetData>
    <row r="1" spans="1:23">
      <c r="A1" s="286" t="s">
        <v>0</v>
      </c>
      <c r="B1" s="286"/>
      <c r="C1" s="173">
        <v>33939</v>
      </c>
      <c r="D1" s="173">
        <v>37591</v>
      </c>
      <c r="E1" s="173">
        <v>41244</v>
      </c>
      <c r="F1" s="173">
        <v>41639</v>
      </c>
    </row>
    <row r="2" spans="1:23">
      <c r="A2" s="174" t="s">
        <v>248</v>
      </c>
      <c r="B2" s="175"/>
      <c r="C2" s="176">
        <v>7</v>
      </c>
      <c r="D2" s="176">
        <v>68</v>
      </c>
      <c r="E2" s="176">
        <f>'Cummulative Progress since 82'!AF4</f>
        <v>112</v>
      </c>
      <c r="F2" s="172">
        <f>'Cummulative Progress since 82'!AG4</f>
        <v>120</v>
      </c>
    </row>
    <row r="4" spans="1:23">
      <c r="C4" s="172" t="s">
        <v>256</v>
      </c>
      <c r="D4" s="172" t="s">
        <v>257</v>
      </c>
      <c r="E4" s="220" t="s">
        <v>272</v>
      </c>
      <c r="S4" s="286" t="s">
        <v>0</v>
      </c>
      <c r="T4" s="286"/>
      <c r="U4" s="173">
        <v>33939</v>
      </c>
      <c r="V4" s="173">
        <v>37591</v>
      </c>
      <c r="W4" s="173">
        <v>41609</v>
      </c>
    </row>
    <row r="5" spans="1:23">
      <c r="C5" s="201">
        <f>C2</f>
        <v>7</v>
      </c>
      <c r="D5" s="201">
        <f>D2</f>
        <v>68</v>
      </c>
      <c r="E5" s="201">
        <f>F2</f>
        <v>120</v>
      </c>
      <c r="S5" s="174" t="s">
        <v>308</v>
      </c>
      <c r="T5" s="175"/>
      <c r="U5" s="176">
        <f>'Cummulative Progress since 82'!L7</f>
        <v>0</v>
      </c>
      <c r="V5" s="176">
        <f>'Cummulative Progress since 82'!V7</f>
        <v>0</v>
      </c>
      <c r="W5" s="176">
        <f>'Cummulative Progress since 82'!AG7</f>
        <v>970</v>
      </c>
    </row>
    <row r="7" spans="1:23">
      <c r="U7" s="172" t="s">
        <v>256</v>
      </c>
      <c r="V7" s="172" t="s">
        <v>257</v>
      </c>
      <c r="W7" s="220" t="s">
        <v>272</v>
      </c>
    </row>
    <row r="8" spans="1:23">
      <c r="U8" s="201">
        <f>U5</f>
        <v>0</v>
      </c>
      <c r="V8" s="201">
        <f>V5</f>
        <v>0</v>
      </c>
      <c r="W8" s="201">
        <f>W5</f>
        <v>970</v>
      </c>
    </row>
    <row r="26" spans="1:5">
      <c r="A26" s="286" t="s">
        <v>0</v>
      </c>
      <c r="B26" s="286"/>
      <c r="C26" s="173">
        <v>33939</v>
      </c>
      <c r="D26" s="173">
        <v>37591</v>
      </c>
      <c r="E26" s="173">
        <v>41609</v>
      </c>
    </row>
    <row r="27" spans="1:5">
      <c r="A27" s="178" t="s">
        <v>301</v>
      </c>
      <c r="B27" s="175"/>
      <c r="C27" s="176">
        <v>121</v>
      </c>
      <c r="D27" s="176">
        <v>1521</v>
      </c>
      <c r="E27" s="176">
        <f>'Cummulative Progress since 82'!AG5</f>
        <v>3616</v>
      </c>
    </row>
    <row r="30" spans="1:5">
      <c r="C30" s="172" t="s">
        <v>256</v>
      </c>
      <c r="D30" s="172" t="s">
        <v>257</v>
      </c>
      <c r="E30" s="220" t="s">
        <v>272</v>
      </c>
    </row>
    <row r="31" spans="1:5">
      <c r="C31" s="201">
        <f>C27</f>
        <v>121</v>
      </c>
      <c r="D31" s="201">
        <f>D27</f>
        <v>1521</v>
      </c>
      <c r="E31" s="201">
        <f>E27</f>
        <v>3616</v>
      </c>
    </row>
    <row r="51" spans="1:5">
      <c r="A51" s="286" t="s">
        <v>0</v>
      </c>
      <c r="B51" s="286"/>
      <c r="C51" s="173">
        <v>33939</v>
      </c>
      <c r="D51" s="173">
        <v>37591</v>
      </c>
      <c r="E51" s="173">
        <v>41609</v>
      </c>
    </row>
    <row r="52" spans="1:5">
      <c r="A52" s="178" t="s">
        <v>302</v>
      </c>
      <c r="B52" s="175"/>
      <c r="C52" s="176">
        <v>75465.052497846686</v>
      </c>
      <c r="D52" s="176">
        <v>740798.94726836472</v>
      </c>
      <c r="E52" s="176">
        <f>'Cummulative Progress since 82'!AG6</f>
        <v>5684566</v>
      </c>
    </row>
    <row r="56" spans="1:5">
      <c r="C56" s="172" t="s">
        <v>256</v>
      </c>
      <c r="D56" s="172" t="s">
        <v>257</v>
      </c>
      <c r="E56" s="220" t="s">
        <v>272</v>
      </c>
    </row>
    <row r="57" spans="1:5">
      <c r="C57" s="202">
        <f>C52/1000000</f>
        <v>7.5465052497846685E-2</v>
      </c>
      <c r="D57" s="202">
        <f>D52/1000000</f>
        <v>0.7407989472683647</v>
      </c>
      <c r="E57" s="203">
        <f>E52/1000000</f>
        <v>5.6845660000000002</v>
      </c>
    </row>
    <row r="74" spans="1:5">
      <c r="A74" s="286" t="s">
        <v>0</v>
      </c>
      <c r="B74" s="286"/>
      <c r="C74" s="173">
        <v>33939</v>
      </c>
      <c r="D74" s="173">
        <v>37591</v>
      </c>
      <c r="E74" s="173">
        <v>41609</v>
      </c>
    </row>
    <row r="75" spans="1:5">
      <c r="A75" s="287" t="s">
        <v>289</v>
      </c>
      <c r="B75" s="182" t="s">
        <v>13</v>
      </c>
      <c r="C75" s="176">
        <v>612</v>
      </c>
      <c r="D75" s="176">
        <v>11806</v>
      </c>
      <c r="E75" s="176">
        <f>'Cummulative Progress since 82'!AG8</f>
        <v>165294</v>
      </c>
    </row>
    <row r="76" spans="1:5">
      <c r="A76" s="287"/>
      <c r="B76" s="183" t="s">
        <v>14</v>
      </c>
      <c r="C76" s="176">
        <v>1723</v>
      </c>
      <c r="D76" s="176">
        <v>23567.25</v>
      </c>
      <c r="E76" s="176">
        <f>'Cummulative Progress since 82'!AG9</f>
        <v>162575</v>
      </c>
    </row>
    <row r="77" spans="1:5">
      <c r="A77" s="287"/>
      <c r="B77" s="183" t="s">
        <v>15</v>
      </c>
      <c r="C77" s="176">
        <v>0</v>
      </c>
      <c r="D77" s="176">
        <v>1252.0999999999999</v>
      </c>
      <c r="E77" s="176">
        <f>'Cummulative Progress since 82'!AG10</f>
        <v>13295</v>
      </c>
    </row>
    <row r="78" spans="1:5">
      <c r="A78" s="287"/>
      <c r="B78" s="184" t="s">
        <v>16</v>
      </c>
      <c r="C78" s="185">
        <v>2335</v>
      </c>
      <c r="D78" s="185">
        <v>36625.35</v>
      </c>
      <c r="E78" s="185">
        <f>SUM(E75:E77)</f>
        <v>341164</v>
      </c>
    </row>
    <row r="82" spans="2:5">
      <c r="C82" s="172" t="s">
        <v>256</v>
      </c>
      <c r="D82" s="172" t="s">
        <v>257</v>
      </c>
      <c r="E82" s="220" t="s">
        <v>272</v>
      </c>
    </row>
    <row r="83" spans="2:5">
      <c r="B83" s="182" t="s">
        <v>13</v>
      </c>
      <c r="C83" s="201">
        <f>C75</f>
        <v>612</v>
      </c>
      <c r="D83" s="201">
        <f>D75</f>
        <v>11806</v>
      </c>
      <c r="E83" s="201">
        <f>E75</f>
        <v>165294</v>
      </c>
    </row>
    <row r="84" spans="2:5">
      <c r="B84" s="183" t="s">
        <v>14</v>
      </c>
      <c r="C84" s="201">
        <f t="shared" ref="C84:E86" si="0">C76</f>
        <v>1723</v>
      </c>
      <c r="D84" s="201">
        <f t="shared" si="0"/>
        <v>23567.25</v>
      </c>
      <c r="E84" s="201">
        <f t="shared" si="0"/>
        <v>162575</v>
      </c>
    </row>
    <row r="85" spans="2:5">
      <c r="B85" s="183" t="s">
        <v>15</v>
      </c>
      <c r="C85" s="201">
        <f t="shared" si="0"/>
        <v>0</v>
      </c>
      <c r="D85" s="201">
        <f t="shared" si="0"/>
        <v>1252.0999999999999</v>
      </c>
      <c r="E85" s="201">
        <f t="shared" si="0"/>
        <v>13295</v>
      </c>
    </row>
    <row r="86" spans="2:5">
      <c r="B86" s="184" t="s">
        <v>16</v>
      </c>
      <c r="C86" s="201">
        <f t="shared" si="0"/>
        <v>2335</v>
      </c>
      <c r="D86" s="201">
        <f t="shared" si="0"/>
        <v>36625.35</v>
      </c>
      <c r="E86" s="201">
        <f t="shared" si="0"/>
        <v>341164</v>
      </c>
    </row>
    <row r="102" spans="1:5">
      <c r="C102" s="172" t="s">
        <v>256</v>
      </c>
      <c r="D102" s="172" t="s">
        <v>257</v>
      </c>
      <c r="E102" s="220" t="s">
        <v>272</v>
      </c>
    </row>
    <row r="103" spans="1:5">
      <c r="A103" s="288" t="s">
        <v>249</v>
      </c>
      <c r="B103" s="187" t="s">
        <v>17</v>
      </c>
      <c r="C103" s="204">
        <f>'Cummulative Progress since 82'!L15</f>
        <v>17.787599999999998</v>
      </c>
      <c r="D103" s="204">
        <f>'Cummulative Progress since 82'!V15</f>
        <v>214.49246599999998</v>
      </c>
      <c r="E103" s="204">
        <f>'Cummulative Progress since 82'!AG15</f>
        <v>700.75128006914997</v>
      </c>
    </row>
    <row r="104" spans="1:5">
      <c r="A104" s="288"/>
      <c r="B104" s="189" t="s">
        <v>18</v>
      </c>
      <c r="C104" s="204">
        <f>'Cummulative Progress since 82'!L16</f>
        <v>127.39009999999999</v>
      </c>
      <c r="D104" s="204">
        <f>'Cummulative Progress since 82'!V16</f>
        <v>628.37888399999997</v>
      </c>
      <c r="E104" s="204">
        <f>'Cummulative Progress since 82'!AG16</f>
        <v>1834.5024352975349</v>
      </c>
    </row>
    <row r="105" spans="1:5">
      <c r="A105" s="288"/>
      <c r="B105" s="184" t="s">
        <v>16</v>
      </c>
      <c r="C105" s="204">
        <f>'Cummulative Progress since 82'!L17</f>
        <v>145.17769999999999</v>
      </c>
      <c r="D105" s="204">
        <f>'Cummulative Progress since 82'!V17</f>
        <v>842.87134999999989</v>
      </c>
      <c r="E105" s="204">
        <f>'Cummulative Progress since 82'!AG17</f>
        <v>2535.2537153666849</v>
      </c>
    </row>
    <row r="117" spans="1:5">
      <c r="C117" s="172" t="s">
        <v>256</v>
      </c>
      <c r="D117" s="172" t="s">
        <v>257</v>
      </c>
      <c r="E117" s="220" t="s">
        <v>272</v>
      </c>
    </row>
    <row r="118" spans="1:5">
      <c r="A118" s="287" t="s">
        <v>19</v>
      </c>
      <c r="B118" s="182" t="s">
        <v>17</v>
      </c>
      <c r="C118" s="204">
        <f>'Cummulative Progress since 82'!L18</f>
        <v>1318</v>
      </c>
      <c r="D118" s="204">
        <f>'Cummulative Progress since 82'!V18</f>
        <v>115299</v>
      </c>
      <c r="E118" s="204">
        <f>'Cummulative Progress since 82'!AG18</f>
        <v>1992495</v>
      </c>
    </row>
    <row r="119" spans="1:5">
      <c r="A119" s="287"/>
      <c r="B119" s="183" t="s">
        <v>18</v>
      </c>
      <c r="C119" s="204">
        <f>'Cummulative Progress since 82'!L19</f>
        <v>9601</v>
      </c>
      <c r="D119" s="204">
        <f>'Cummulative Progress since 82'!V19</f>
        <v>253956</v>
      </c>
      <c r="E119" s="204">
        <f>'Cummulative Progress since 82'!AG19</f>
        <v>1805203</v>
      </c>
    </row>
    <row r="120" spans="1:5">
      <c r="A120" s="287"/>
      <c r="B120" s="184" t="s">
        <v>16</v>
      </c>
      <c r="C120" s="204">
        <f>'Cummulative Progress since 82'!L20</f>
        <v>10919</v>
      </c>
      <c r="D120" s="204">
        <f>'Cummulative Progress since 82'!V20</f>
        <v>369255</v>
      </c>
      <c r="E120" s="204">
        <f>'Cummulative Progress since 82'!AG20</f>
        <v>3797698</v>
      </c>
    </row>
    <row r="138" spans="1:5">
      <c r="C138" s="172" t="s">
        <v>256</v>
      </c>
      <c r="D138" s="172" t="s">
        <v>257</v>
      </c>
      <c r="E138" s="220" t="s">
        <v>272</v>
      </c>
    </row>
    <row r="139" spans="1:5">
      <c r="A139" s="288" t="s">
        <v>20</v>
      </c>
      <c r="B139" s="187" t="s">
        <v>17</v>
      </c>
      <c r="C139" s="204">
        <f>'Cummulative Progress since 82'!L25</f>
        <v>11.086100000000002</v>
      </c>
      <c r="D139" s="204">
        <f>'Cummulative Progress since 82'!V25</f>
        <v>1129.6137100000001</v>
      </c>
      <c r="E139" s="204">
        <f>'Cummulative Progress since 82'!AG25</f>
        <v>48618.985709999994</v>
      </c>
    </row>
    <row r="140" spans="1:5">
      <c r="A140" s="288"/>
      <c r="B140" s="189" t="s">
        <v>18</v>
      </c>
      <c r="C140" s="204">
        <f>'Cummulative Progress since 82'!L26</f>
        <v>144.87455300000002</v>
      </c>
      <c r="D140" s="204">
        <f>'Cummulative Progress since 82'!V26</f>
        <v>5493.9082699999999</v>
      </c>
      <c r="E140" s="204">
        <f>'Cummulative Progress since 82'!AG26</f>
        <v>56807.523201999997</v>
      </c>
    </row>
    <row r="141" spans="1:5">
      <c r="A141" s="288"/>
      <c r="B141" s="184" t="s">
        <v>16</v>
      </c>
      <c r="C141" s="204">
        <f>'Cummulative Progress since 82'!L27</f>
        <v>155.96065300000001</v>
      </c>
      <c r="D141" s="204">
        <f>'Cummulative Progress since 82'!V27</f>
        <v>6623.5219799999995</v>
      </c>
      <c r="E141" s="204">
        <f>'Cummulative Progress since 82'!AG27</f>
        <v>105426.50891199999</v>
      </c>
    </row>
    <row r="159" spans="1:5">
      <c r="C159" s="172" t="s">
        <v>256</v>
      </c>
      <c r="D159" s="172" t="s">
        <v>257</v>
      </c>
      <c r="E159" s="172" t="s">
        <v>258</v>
      </c>
    </row>
    <row r="160" spans="1:5">
      <c r="A160" s="288" t="s">
        <v>251</v>
      </c>
      <c r="B160" s="189" t="s">
        <v>252</v>
      </c>
    </row>
    <row r="161" spans="1:5">
      <c r="A161" s="288"/>
      <c r="B161" s="189" t="s">
        <v>253</v>
      </c>
    </row>
    <row r="162" spans="1:5">
      <c r="A162" s="288"/>
      <c r="B162" s="184" t="s">
        <v>16</v>
      </c>
    </row>
    <row r="163" spans="1:5">
      <c r="C163" s="172" t="s">
        <v>256</v>
      </c>
      <c r="D163" s="172" t="s">
        <v>257</v>
      </c>
      <c r="E163" s="220" t="s">
        <v>272</v>
      </c>
    </row>
    <row r="164" spans="1:5" ht="43.5">
      <c r="B164" s="183" t="s">
        <v>250</v>
      </c>
      <c r="C164" s="172">
        <v>0</v>
      </c>
      <c r="D164" s="172">
        <v>0</v>
      </c>
      <c r="E164" s="205">
        <f>'Cummulative Progress since 82'!AG24</f>
        <v>2034.249583</v>
      </c>
    </row>
    <row r="172" spans="1:5">
      <c r="C172" s="172" t="s">
        <v>256</v>
      </c>
      <c r="D172" s="172" t="s">
        <v>257</v>
      </c>
      <c r="E172" s="220" t="s">
        <v>272</v>
      </c>
    </row>
    <row r="173" spans="1:5">
      <c r="A173" s="287" t="s">
        <v>309</v>
      </c>
      <c r="B173" s="182" t="s">
        <v>17</v>
      </c>
      <c r="C173" s="204">
        <v>0</v>
      </c>
      <c r="D173" s="204">
        <v>0</v>
      </c>
      <c r="E173" s="204">
        <f>'Cummulative Progress since 82'!AG31</f>
        <v>1246039</v>
      </c>
    </row>
    <row r="174" spans="1:5">
      <c r="A174" s="287"/>
      <c r="B174" s="183" t="s">
        <v>18</v>
      </c>
      <c r="C174" s="204">
        <v>0</v>
      </c>
      <c r="D174" s="204">
        <v>0</v>
      </c>
      <c r="E174" s="204">
        <f>'Cummulative Progress since 82'!AG32</f>
        <v>2696739</v>
      </c>
    </row>
    <row r="175" spans="1:5">
      <c r="A175" s="287"/>
      <c r="B175" s="184" t="s">
        <v>16</v>
      </c>
      <c r="C175" s="204">
        <v>0</v>
      </c>
      <c r="D175" s="204">
        <v>0</v>
      </c>
      <c r="E175" s="204">
        <f>'Cummulative Progress since 82'!AG33</f>
        <v>3942778</v>
      </c>
    </row>
    <row r="188" spans="2:5">
      <c r="C188" s="172" t="s">
        <v>256</v>
      </c>
      <c r="D188" s="172" t="s">
        <v>257</v>
      </c>
      <c r="E188" s="220" t="s">
        <v>272</v>
      </c>
    </row>
    <row r="189" spans="2:5" ht="28.5">
      <c r="B189" s="206" t="s">
        <v>306</v>
      </c>
      <c r="C189" s="207">
        <f>'Cummulative Progress since 82'!K34</f>
        <v>1244</v>
      </c>
      <c r="D189" s="204">
        <f>'Cummulative Progress since 82'!V34</f>
        <v>18053</v>
      </c>
      <c r="E189" s="204">
        <f>'Cummulative Progress since 82'!AG34</f>
        <v>149267</v>
      </c>
    </row>
    <row r="190" spans="2:5" ht="28.5">
      <c r="B190" s="208" t="s">
        <v>307</v>
      </c>
      <c r="C190" s="207">
        <f>'Cummulative Progress since 82'!K36</f>
        <v>223.26499999999999</v>
      </c>
      <c r="D190" s="204">
        <f>'Cummulative Progress since 82'!V36</f>
        <v>2310.2607330000001</v>
      </c>
      <c r="E190" s="204">
        <f>'Cummulative Progress since 82'!AG36</f>
        <v>19214.742069</v>
      </c>
    </row>
    <row r="195" spans="2:5">
      <c r="C195" s="172" t="s">
        <v>256</v>
      </c>
      <c r="D195" s="172" t="s">
        <v>257</v>
      </c>
      <c r="E195" s="220" t="s">
        <v>272</v>
      </c>
    </row>
    <row r="196" spans="2:5" ht="42.75">
      <c r="B196" s="206" t="s">
        <v>255</v>
      </c>
      <c r="C196" s="207">
        <f>'Cummulative Progress since 82'!K35</f>
        <v>70315</v>
      </c>
      <c r="D196" s="204">
        <f>'Cummulative Progress since 82'!V35</f>
        <v>924178</v>
      </c>
      <c r="E196" s="204">
        <f>'Cummulative Progress since 82'!AG35</f>
        <v>4596603</v>
      </c>
    </row>
  </sheetData>
  <mergeCells count="11">
    <mergeCell ref="A103:A105"/>
    <mergeCell ref="A118:A120"/>
    <mergeCell ref="A139:A141"/>
    <mergeCell ref="A160:A162"/>
    <mergeCell ref="A173:A175"/>
    <mergeCell ref="A75:A78"/>
    <mergeCell ref="A1:B1"/>
    <mergeCell ref="S4:T4"/>
    <mergeCell ref="A26:B26"/>
    <mergeCell ref="A51:B51"/>
    <mergeCell ref="A74:B7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I28"/>
  <sheetViews>
    <sheetView workbookViewId="0">
      <pane xSplit="2" ySplit="3" topLeftCell="AB17" activePane="bottomRight" state="frozen"/>
      <selection activeCell="B27" sqref="B27"/>
      <selection pane="topRight" activeCell="B27" sqref="B27"/>
      <selection pane="bottomLeft" activeCell="B27" sqref="B27"/>
      <selection pane="bottomRight" activeCell="AI19" sqref="AI19"/>
    </sheetView>
  </sheetViews>
  <sheetFormatPr defaultRowHeight="15"/>
  <cols>
    <col min="1" max="1" width="35.42578125" style="172" customWidth="1"/>
    <col min="2" max="2" width="25.5703125" style="172" customWidth="1"/>
    <col min="3" max="3" width="18.140625" style="172" customWidth="1"/>
    <col min="4" max="4" width="16.28515625" style="172" customWidth="1"/>
    <col min="5" max="5" width="12.140625" style="172" customWidth="1"/>
    <col min="6" max="6" width="16.140625" style="172" customWidth="1"/>
    <col min="7" max="7" width="13.42578125" style="172" customWidth="1"/>
    <col min="8" max="8" width="12.85546875" style="172" customWidth="1"/>
    <col min="9" max="9" width="13.85546875" style="172" customWidth="1"/>
    <col min="10" max="10" width="12.85546875" style="172" customWidth="1"/>
    <col min="11" max="11" width="16.7109375" style="172" customWidth="1"/>
    <col min="12" max="12" width="16.5703125" style="172" customWidth="1"/>
    <col min="13" max="13" width="13.140625" style="172" customWidth="1"/>
    <col min="14" max="14" width="16.28515625" style="172" customWidth="1"/>
    <col min="15" max="15" width="15.7109375" style="172" customWidth="1"/>
    <col min="16" max="16" width="16.7109375" style="172" customWidth="1"/>
    <col min="17" max="17" width="16.28515625" style="172" customWidth="1"/>
    <col min="18" max="18" width="17.28515625" style="172" customWidth="1"/>
    <col min="19" max="19" width="17.5703125" style="172" customWidth="1"/>
    <col min="20" max="20" width="15.7109375" style="172" customWidth="1"/>
    <col min="21" max="21" width="17.7109375" style="172" customWidth="1"/>
    <col min="22" max="22" width="18.140625" style="172" customWidth="1"/>
    <col min="23" max="23" width="16.28515625" style="172" customWidth="1"/>
    <col min="24" max="24" width="19.140625" style="172" customWidth="1"/>
    <col min="25" max="26" width="13.85546875" style="172" customWidth="1"/>
    <col min="27" max="27" width="12.140625" style="172" customWidth="1"/>
    <col min="28" max="28" width="13.5703125" style="172" customWidth="1"/>
    <col min="29" max="29" width="14.5703125" style="172" customWidth="1"/>
    <col min="30" max="30" width="13.140625" style="172" customWidth="1"/>
    <col min="31" max="31" width="12.42578125" style="172" customWidth="1"/>
    <col min="32" max="32" width="14" style="172" customWidth="1"/>
    <col min="33" max="33" width="10.85546875" style="172" bestFit="1" customWidth="1"/>
    <col min="34" max="34" width="10.85546875" style="172" customWidth="1"/>
    <col min="35" max="35" width="10.28515625" style="172" bestFit="1" customWidth="1"/>
    <col min="36" max="16384" width="9.140625" style="172"/>
  </cols>
  <sheetData>
    <row r="1" spans="1:35" ht="15.75">
      <c r="A1" s="170" t="s">
        <v>247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</row>
    <row r="2" spans="1:35" ht="15.75">
      <c r="A2" s="170" t="s">
        <v>300</v>
      </c>
      <c r="B2" s="171"/>
      <c r="C2" s="171">
        <f>'Exchange rates'!C32</f>
        <v>14.288429000000001</v>
      </c>
      <c r="D2" s="171">
        <f>'Exchange rates'!C31</f>
        <v>14.811271</v>
      </c>
      <c r="E2" s="171">
        <f>'Exchange rates'!C30</f>
        <v>14.893646</v>
      </c>
      <c r="F2" s="171">
        <f>'Exchange rates'!C29</f>
        <v>15.041876</v>
      </c>
      <c r="G2" s="171">
        <f>'Exchange rates'!C28</f>
        <v>16.139358999999999</v>
      </c>
      <c r="H2" s="171">
        <f>'Exchange rates'!C27</f>
        <v>19.843609000000001</v>
      </c>
      <c r="I2" s="171">
        <f>'Exchange rates'!C26</f>
        <v>21.763497000000001</v>
      </c>
      <c r="J2" s="171">
        <f>'Exchange rates'!C25</f>
        <v>20.443417</v>
      </c>
      <c r="K2" s="171">
        <f>'Exchange rates'!C24</f>
        <v>26.268179</v>
      </c>
      <c r="L2" s="171">
        <f>'Exchange rates'!C23</f>
        <v>25.990867000000001</v>
      </c>
      <c r="M2" s="209">
        <f>'Exchange rates'!C22</f>
        <v>29.073046000000001</v>
      </c>
      <c r="N2" s="209">
        <f>'Exchange rates'!C21</f>
        <v>28.730891</v>
      </c>
      <c r="O2" s="209">
        <f>'Exchange rates'!C20</f>
        <v>29.771429999999999</v>
      </c>
      <c r="P2" s="209">
        <f>'Exchange rates'!C19</f>
        <v>37.354165000000002</v>
      </c>
      <c r="Q2" s="209">
        <f>'Exchange rates'!C18</f>
        <v>45.458930000000002</v>
      </c>
      <c r="R2" s="209">
        <f>'Exchange rates'!C17</f>
        <v>44.433608999999997</v>
      </c>
      <c r="S2" s="209">
        <f>'Exchange rates'!C16</f>
        <v>54.259295999999999</v>
      </c>
      <c r="T2" s="209">
        <f>'Exchange rates'!C15</f>
        <v>55.696345999999998</v>
      </c>
      <c r="U2" s="209">
        <f>'Exchange rates'!C14</f>
        <v>62.379555000000003</v>
      </c>
      <c r="V2" s="209">
        <f>'Exchange rates'!C13</f>
        <v>59.494475000000001</v>
      </c>
      <c r="W2" s="209">
        <f>'Exchange rates'!C12</f>
        <v>57.814433999999999</v>
      </c>
      <c r="X2" s="209">
        <f>'Exchange rates'!C11</f>
        <v>58.361262000000004</v>
      </c>
      <c r="Y2" s="209">
        <f>'Exchange rates'!C10</f>
        <v>59.604984999999999</v>
      </c>
      <c r="Z2" s="209">
        <f>'Exchange rates'!C9</f>
        <v>60.263894999999998</v>
      </c>
      <c r="AA2" s="209">
        <f>'Exchange rates'!C8</f>
        <v>60.674821000000001</v>
      </c>
      <c r="AB2" s="209">
        <f>'Exchange rates'!C7</f>
        <v>70.619783999999996</v>
      </c>
      <c r="AC2" s="209">
        <f>'Exchange rates'!C6</f>
        <v>81.598060000000004</v>
      </c>
      <c r="AD2" s="209">
        <f>'Exchange rates'!C5</f>
        <v>85.237962999999993</v>
      </c>
      <c r="AE2" s="209">
        <f>'Exchange rates'!C4</f>
        <v>86.359025000000003</v>
      </c>
      <c r="AF2" s="209">
        <f>'Exchange rates'!C3</f>
        <v>93.386073999999994</v>
      </c>
      <c r="AG2" s="209">
        <f>'Exchange rates'!C2</f>
        <v>101.611681</v>
      </c>
      <c r="AH2" s="242">
        <f>AG2</f>
        <v>101.611681</v>
      </c>
    </row>
    <row r="3" spans="1:35">
      <c r="A3" s="286" t="s">
        <v>0</v>
      </c>
      <c r="B3" s="286"/>
      <c r="C3" s="173">
        <v>30651</v>
      </c>
      <c r="D3" s="173">
        <v>31017</v>
      </c>
      <c r="E3" s="173">
        <v>31382</v>
      </c>
      <c r="F3" s="173">
        <v>31747</v>
      </c>
      <c r="G3" s="173">
        <v>32112</v>
      </c>
      <c r="H3" s="173">
        <v>32478</v>
      </c>
      <c r="I3" s="173">
        <v>32843</v>
      </c>
      <c r="J3" s="173">
        <v>33208</v>
      </c>
      <c r="K3" s="173">
        <v>33573</v>
      </c>
      <c r="L3" s="173">
        <v>33939</v>
      </c>
      <c r="M3" s="173">
        <v>34304</v>
      </c>
      <c r="N3" s="173">
        <v>34669</v>
      </c>
      <c r="O3" s="173">
        <v>35034</v>
      </c>
      <c r="P3" s="173">
        <v>35400</v>
      </c>
      <c r="Q3" s="173">
        <v>35765</v>
      </c>
      <c r="R3" s="173">
        <v>36130</v>
      </c>
      <c r="S3" s="173">
        <v>36495</v>
      </c>
      <c r="T3" s="173">
        <v>36861</v>
      </c>
      <c r="U3" s="173">
        <v>37226</v>
      </c>
      <c r="V3" s="173">
        <v>37591</v>
      </c>
      <c r="W3" s="173">
        <v>37956</v>
      </c>
      <c r="X3" s="173">
        <v>38322</v>
      </c>
      <c r="Y3" s="173">
        <v>38687</v>
      </c>
      <c r="Z3" s="173">
        <v>39052</v>
      </c>
      <c r="AA3" s="173">
        <v>39417</v>
      </c>
      <c r="AB3" s="173">
        <v>39783</v>
      </c>
      <c r="AC3" s="173">
        <v>40148</v>
      </c>
      <c r="AD3" s="173">
        <v>40513</v>
      </c>
      <c r="AE3" s="173">
        <v>40878</v>
      </c>
      <c r="AF3" s="173">
        <v>41244</v>
      </c>
      <c r="AG3" s="173">
        <v>41609</v>
      </c>
      <c r="AH3" s="243">
        <v>41712</v>
      </c>
      <c r="AI3" s="172" t="s">
        <v>16</v>
      </c>
    </row>
    <row r="4" spans="1:35">
      <c r="A4" s="288" t="s">
        <v>249</v>
      </c>
      <c r="B4" s="187" t="s">
        <v>17</v>
      </c>
      <c r="C4" s="210">
        <v>0</v>
      </c>
      <c r="D4" s="210">
        <v>0.52</v>
      </c>
      <c r="E4" s="210">
        <v>1.38</v>
      </c>
      <c r="F4" s="210">
        <v>2.12</v>
      </c>
      <c r="G4" s="210">
        <v>3.3511660000000001</v>
      </c>
      <c r="H4" s="210">
        <v>4.82</v>
      </c>
      <c r="I4" s="210">
        <v>7.6400000000000006</v>
      </c>
      <c r="J4" s="210">
        <v>10.405999999999999</v>
      </c>
      <c r="K4" s="210">
        <v>13.660999999999998</v>
      </c>
      <c r="L4" s="210">
        <v>17.787599999999998</v>
      </c>
      <c r="M4" s="210">
        <v>23.410838999999996</v>
      </c>
      <c r="N4" s="210">
        <v>33.897176999999999</v>
      </c>
      <c r="O4" s="210">
        <v>50.122177000000001</v>
      </c>
      <c r="P4" s="210">
        <v>67.844358999999997</v>
      </c>
      <c r="Q4" s="210">
        <v>86.601716999999994</v>
      </c>
      <c r="R4" s="210">
        <v>113.09934699999999</v>
      </c>
      <c r="S4" s="210">
        <v>131.40386000000001</v>
      </c>
      <c r="T4" s="210">
        <v>152.436712</v>
      </c>
      <c r="U4" s="210">
        <v>187.15009699999999</v>
      </c>
      <c r="V4" s="210">
        <v>214.49246599999998</v>
      </c>
      <c r="W4" s="210">
        <v>232.68807499999997</v>
      </c>
      <c r="X4" s="210">
        <v>255.77047199999998</v>
      </c>
      <c r="Y4" s="210">
        <v>286.66726699999998</v>
      </c>
      <c r="Z4" s="210">
        <v>326.90143399999999</v>
      </c>
      <c r="AA4" s="210">
        <v>405.65</v>
      </c>
      <c r="AB4" s="210">
        <v>438.99700000000001</v>
      </c>
      <c r="AC4" s="210">
        <v>474.46</v>
      </c>
      <c r="AD4" s="210">
        <v>524.33000000000004</v>
      </c>
      <c r="AE4" s="210">
        <v>594</v>
      </c>
      <c r="AF4" s="211">
        <v>748.18999999999994</v>
      </c>
      <c r="AG4" s="205">
        <v>693.13645306914987</v>
      </c>
      <c r="AH4" s="205">
        <f>'2. Overall cum progress March14'!M15</f>
        <v>700.75128006914997</v>
      </c>
    </row>
    <row r="5" spans="1:35">
      <c r="A5" s="288"/>
      <c r="B5" s="189" t="s">
        <v>18</v>
      </c>
      <c r="C5" s="210">
        <v>0.66274999999999995</v>
      </c>
      <c r="D5" s="210">
        <v>5.87</v>
      </c>
      <c r="E5" s="210">
        <v>10.530000000000001</v>
      </c>
      <c r="F5" s="210">
        <v>17.96</v>
      </c>
      <c r="G5" s="210">
        <v>34.340000000000003</v>
      </c>
      <c r="H5" s="210">
        <v>51.33</v>
      </c>
      <c r="I5" s="210">
        <v>68.41</v>
      </c>
      <c r="J5" s="210">
        <v>86.44</v>
      </c>
      <c r="K5" s="210">
        <v>104.15009999999999</v>
      </c>
      <c r="L5" s="210">
        <v>127.39009999999999</v>
      </c>
      <c r="M5" s="210">
        <v>143.040166</v>
      </c>
      <c r="N5" s="210">
        <v>181.25131299999998</v>
      </c>
      <c r="O5" s="210">
        <v>216.154313</v>
      </c>
      <c r="P5" s="210">
        <v>261.67672499999998</v>
      </c>
      <c r="Q5" s="210">
        <v>310.013937</v>
      </c>
      <c r="R5" s="210">
        <v>365.60872499999999</v>
      </c>
      <c r="S5" s="210">
        <v>427.18954600000001</v>
      </c>
      <c r="T5" s="210">
        <v>488.12429700000001</v>
      </c>
      <c r="U5" s="210">
        <v>554.72024899999997</v>
      </c>
      <c r="V5" s="210">
        <v>628.37888399999997</v>
      </c>
      <c r="W5" s="210">
        <v>672.90471700000001</v>
      </c>
      <c r="X5" s="210">
        <v>825.46499599999993</v>
      </c>
      <c r="Y5" s="210">
        <v>916.99944399999993</v>
      </c>
      <c r="Z5" s="210">
        <v>1058.2791649999999</v>
      </c>
      <c r="AA5" s="210">
        <v>1465.1</v>
      </c>
      <c r="AB5" s="210">
        <v>1601.626</v>
      </c>
      <c r="AC5" s="210">
        <v>1656.2</v>
      </c>
      <c r="AD5" s="210">
        <v>1832.35</v>
      </c>
      <c r="AE5" s="210">
        <v>1786</v>
      </c>
      <c r="AF5" s="211">
        <v>1820.3119999999997</v>
      </c>
      <c r="AG5" s="205">
        <v>1824.8696772975347</v>
      </c>
      <c r="AH5" s="205">
        <f>'2. Overall cum progress March14'!M16</f>
        <v>1834.5024352975349</v>
      </c>
    </row>
    <row r="6" spans="1:35">
      <c r="A6" s="288"/>
      <c r="B6" s="184" t="s">
        <v>16</v>
      </c>
      <c r="C6" s="212">
        <f>SUM(C4:C5)</f>
        <v>0.66274999999999995</v>
      </c>
      <c r="D6" s="212">
        <f t="shared" ref="D6:AH6" si="0">SUM(D4:D5)</f>
        <v>6.3900000000000006</v>
      </c>
      <c r="E6" s="212">
        <f t="shared" si="0"/>
        <v>11.91</v>
      </c>
      <c r="F6" s="212">
        <f t="shared" si="0"/>
        <v>20.080000000000002</v>
      </c>
      <c r="G6" s="212">
        <f t="shared" si="0"/>
        <v>37.691166000000003</v>
      </c>
      <c r="H6" s="212">
        <f t="shared" si="0"/>
        <v>56.15</v>
      </c>
      <c r="I6" s="212">
        <f t="shared" si="0"/>
        <v>76.05</v>
      </c>
      <c r="J6" s="212">
        <f t="shared" si="0"/>
        <v>96.846000000000004</v>
      </c>
      <c r="K6" s="212">
        <f t="shared" si="0"/>
        <v>117.8111</v>
      </c>
      <c r="L6" s="212">
        <f t="shared" si="0"/>
        <v>145.17769999999999</v>
      </c>
      <c r="M6" s="212">
        <f t="shared" si="0"/>
        <v>166.45100500000001</v>
      </c>
      <c r="N6" s="212">
        <f t="shared" si="0"/>
        <v>215.14848999999998</v>
      </c>
      <c r="O6" s="212">
        <f t="shared" si="0"/>
        <v>266.27649000000002</v>
      </c>
      <c r="P6" s="212">
        <f t="shared" si="0"/>
        <v>329.52108399999997</v>
      </c>
      <c r="Q6" s="212">
        <f t="shared" si="0"/>
        <v>396.61565400000001</v>
      </c>
      <c r="R6" s="212">
        <f t="shared" si="0"/>
        <v>478.70807200000002</v>
      </c>
      <c r="S6" s="212">
        <f t="shared" si="0"/>
        <v>558.59340599999996</v>
      </c>
      <c r="T6" s="212">
        <f t="shared" si="0"/>
        <v>640.56100900000001</v>
      </c>
      <c r="U6" s="212">
        <f t="shared" si="0"/>
        <v>741.87034599999993</v>
      </c>
      <c r="V6" s="212">
        <f t="shared" si="0"/>
        <v>842.87134999999989</v>
      </c>
      <c r="W6" s="212">
        <f t="shared" si="0"/>
        <v>905.59279199999992</v>
      </c>
      <c r="X6" s="212">
        <f t="shared" si="0"/>
        <v>1081.2354679999999</v>
      </c>
      <c r="Y6" s="212">
        <f t="shared" si="0"/>
        <v>1203.6667109999999</v>
      </c>
      <c r="Z6" s="212">
        <f t="shared" si="0"/>
        <v>1385.1805989999998</v>
      </c>
      <c r="AA6" s="212">
        <f t="shared" si="0"/>
        <v>1870.75</v>
      </c>
      <c r="AB6" s="212">
        <f t="shared" si="0"/>
        <v>2040.623</v>
      </c>
      <c r="AC6" s="212">
        <f t="shared" si="0"/>
        <v>2130.66</v>
      </c>
      <c r="AD6" s="212">
        <f t="shared" si="0"/>
        <v>2356.6799999999998</v>
      </c>
      <c r="AE6" s="212">
        <f t="shared" si="0"/>
        <v>2380</v>
      </c>
      <c r="AF6" s="212">
        <f t="shared" si="0"/>
        <v>2568.5019999999995</v>
      </c>
      <c r="AG6" s="212">
        <f t="shared" si="0"/>
        <v>2518.0061303666844</v>
      </c>
      <c r="AH6" s="212">
        <f t="shared" si="0"/>
        <v>2535.2537153666849</v>
      </c>
    </row>
    <row r="7" spans="1:35" ht="29.25">
      <c r="A7" s="213" t="s">
        <v>205</v>
      </c>
      <c r="B7" s="183" t="s">
        <v>250</v>
      </c>
      <c r="C7" s="214">
        <v>0</v>
      </c>
      <c r="D7" s="214">
        <v>0</v>
      </c>
      <c r="E7" s="214">
        <v>0</v>
      </c>
      <c r="F7" s="214">
        <v>0</v>
      </c>
      <c r="G7" s="214">
        <v>0</v>
      </c>
      <c r="H7" s="214">
        <v>0</v>
      </c>
      <c r="I7" s="214">
        <v>0</v>
      </c>
      <c r="J7" s="214">
        <v>0</v>
      </c>
      <c r="K7" s="214">
        <v>0</v>
      </c>
      <c r="L7" s="214">
        <v>0</v>
      </c>
      <c r="M7" s="214">
        <v>0</v>
      </c>
      <c r="N7" s="214">
        <v>0</v>
      </c>
      <c r="O7" s="214">
        <v>0</v>
      </c>
      <c r="P7" s="214">
        <v>0</v>
      </c>
      <c r="Q7" s="214">
        <v>0</v>
      </c>
      <c r="R7" s="214">
        <v>0</v>
      </c>
      <c r="S7" s="214">
        <v>0</v>
      </c>
      <c r="T7" s="214">
        <v>0</v>
      </c>
      <c r="U7" s="214">
        <v>0</v>
      </c>
      <c r="V7" s="214">
        <v>0</v>
      </c>
      <c r="W7" s="214">
        <v>0</v>
      </c>
      <c r="X7" s="214">
        <v>0</v>
      </c>
      <c r="Y7" s="214">
        <v>0</v>
      </c>
      <c r="Z7" s="214">
        <v>0</v>
      </c>
      <c r="AA7" s="214">
        <v>0</v>
      </c>
      <c r="AB7" s="214">
        <v>0</v>
      </c>
      <c r="AC7" s="214">
        <v>0</v>
      </c>
      <c r="AD7" s="214">
        <v>0</v>
      </c>
      <c r="AE7" s="214">
        <v>1106</v>
      </c>
      <c r="AF7" s="211">
        <v>1652.9050830000001</v>
      </c>
      <c r="AG7" s="205">
        <v>1877.3000830000001</v>
      </c>
      <c r="AH7" s="205">
        <f>'2. Overall cum progress March14'!M24</f>
        <v>2034.249583</v>
      </c>
    </row>
    <row r="8" spans="1:35">
      <c r="A8" s="288" t="s">
        <v>20</v>
      </c>
      <c r="B8" s="187" t="s">
        <v>17</v>
      </c>
      <c r="C8" s="210">
        <v>0</v>
      </c>
      <c r="D8" s="210">
        <v>0</v>
      </c>
      <c r="E8" s="210">
        <v>0</v>
      </c>
      <c r="F8" s="210">
        <v>0</v>
      </c>
      <c r="G8" s="210">
        <v>0.72933599999999998</v>
      </c>
      <c r="H8" s="210">
        <v>2.6786989999999999</v>
      </c>
      <c r="I8" s="210">
        <v>3.9</v>
      </c>
      <c r="J8" s="210">
        <v>6.08</v>
      </c>
      <c r="K8" s="210">
        <v>8.0981000000000005</v>
      </c>
      <c r="L8" s="210">
        <v>11.086100000000002</v>
      </c>
      <c r="M8" s="210">
        <v>16.658100000000001</v>
      </c>
      <c r="N8" s="210">
        <v>27.8354</v>
      </c>
      <c r="O8" s="210">
        <v>51.955740000000006</v>
      </c>
      <c r="P8" s="210">
        <v>89.685465000000008</v>
      </c>
      <c r="Q8" s="210">
        <v>171.398079</v>
      </c>
      <c r="R8" s="210">
        <v>257.79349400000001</v>
      </c>
      <c r="S8" s="210">
        <v>393.65334400000006</v>
      </c>
      <c r="T8" s="210">
        <v>593.8265100000001</v>
      </c>
      <c r="U8" s="210">
        <v>837.80627000000004</v>
      </c>
      <c r="V8" s="210">
        <v>1129.6137100000001</v>
      </c>
      <c r="W8" s="210">
        <v>1564.6495610000002</v>
      </c>
      <c r="X8" s="210">
        <v>2141.8754820000004</v>
      </c>
      <c r="Y8" s="210">
        <v>2963.9566730000006</v>
      </c>
      <c r="Z8" s="210">
        <v>4199.2255530000002</v>
      </c>
      <c r="AA8" s="210">
        <v>8062.3</v>
      </c>
      <c r="AB8" s="210">
        <v>12289.19</v>
      </c>
      <c r="AC8" s="210">
        <v>16292.39</v>
      </c>
      <c r="AD8" s="210">
        <v>18466.13</v>
      </c>
      <c r="AE8" s="210">
        <v>26846</v>
      </c>
      <c r="AF8" s="211">
        <v>34781.01571</v>
      </c>
      <c r="AG8" s="205">
        <v>43222.323109999998</v>
      </c>
      <c r="AH8" s="205">
        <f>'2. Overall cum progress March14'!M25</f>
        <v>48618.985709999994</v>
      </c>
    </row>
    <row r="9" spans="1:35">
      <c r="A9" s="288"/>
      <c r="B9" s="189" t="s">
        <v>18</v>
      </c>
      <c r="C9" s="210">
        <v>0.71</v>
      </c>
      <c r="D9" s="210">
        <v>3.52</v>
      </c>
      <c r="E9" s="210">
        <v>8.57</v>
      </c>
      <c r="F9" s="210">
        <v>24.75</v>
      </c>
      <c r="G9" s="210">
        <v>50.017663999999996</v>
      </c>
      <c r="H9" s="210">
        <v>82.621300999999988</v>
      </c>
      <c r="I9" s="210">
        <v>111.5</v>
      </c>
      <c r="J9" s="210">
        <v>123.37</v>
      </c>
      <c r="K9" s="210">
        <v>132.99956500000002</v>
      </c>
      <c r="L9" s="210">
        <v>144.87455300000002</v>
      </c>
      <c r="M9" s="210">
        <v>153.21655300000003</v>
      </c>
      <c r="N9" s="210">
        <v>328.99442700000003</v>
      </c>
      <c r="O9" s="210">
        <v>441.10692700000004</v>
      </c>
      <c r="P9" s="210">
        <v>619.586547</v>
      </c>
      <c r="Q9" s="210">
        <v>941.10618299999999</v>
      </c>
      <c r="R9" s="210">
        <v>1624.0987719999998</v>
      </c>
      <c r="S9" s="210">
        <v>2801.8091079999999</v>
      </c>
      <c r="T9" s="210">
        <v>3773.813615</v>
      </c>
      <c r="U9" s="210">
        <v>4692.3594059999996</v>
      </c>
      <c r="V9" s="210">
        <v>5493.9082699999999</v>
      </c>
      <c r="W9" s="210">
        <v>6546.9565199999997</v>
      </c>
      <c r="X9" s="210">
        <v>8081.4465309999996</v>
      </c>
      <c r="Y9" s="210">
        <v>9857.6422309999998</v>
      </c>
      <c r="Z9" s="210">
        <v>12699.101413</v>
      </c>
      <c r="AA9" s="210">
        <v>19795.93</v>
      </c>
      <c r="AB9" s="210">
        <v>28557.16</v>
      </c>
      <c r="AC9" s="210">
        <v>35616.32</v>
      </c>
      <c r="AD9" s="210">
        <v>43669.73</v>
      </c>
      <c r="AE9" s="210">
        <v>46277</v>
      </c>
      <c r="AF9" s="211">
        <v>50357.762002000003</v>
      </c>
      <c r="AG9" s="205">
        <v>54470.853802000005</v>
      </c>
      <c r="AH9" s="205">
        <f>'2. Overall cum progress March14'!M26</f>
        <v>56807.523201999997</v>
      </c>
    </row>
    <row r="10" spans="1:35">
      <c r="A10" s="288"/>
      <c r="B10" s="184" t="s">
        <v>16</v>
      </c>
      <c r="C10" s="212">
        <f>SUM(C8:C9)</f>
        <v>0.71</v>
      </c>
      <c r="D10" s="212">
        <f t="shared" ref="D10:AH10" si="1">SUM(D8:D9)</f>
        <v>3.52</v>
      </c>
      <c r="E10" s="212">
        <f t="shared" si="1"/>
        <v>8.57</v>
      </c>
      <c r="F10" s="212">
        <f t="shared" si="1"/>
        <v>24.75</v>
      </c>
      <c r="G10" s="212">
        <f t="shared" si="1"/>
        <v>50.747</v>
      </c>
      <c r="H10" s="212">
        <f t="shared" si="1"/>
        <v>85.299999999999983</v>
      </c>
      <c r="I10" s="212">
        <f t="shared" si="1"/>
        <v>115.4</v>
      </c>
      <c r="J10" s="212">
        <f t="shared" si="1"/>
        <v>129.45000000000002</v>
      </c>
      <c r="K10" s="212">
        <f t="shared" si="1"/>
        <v>141.09766500000001</v>
      </c>
      <c r="L10" s="212">
        <f t="shared" si="1"/>
        <v>155.96065300000004</v>
      </c>
      <c r="M10" s="212">
        <f t="shared" si="1"/>
        <v>169.87465300000002</v>
      </c>
      <c r="N10" s="212">
        <f t="shared" si="1"/>
        <v>356.82982700000002</v>
      </c>
      <c r="O10" s="212">
        <f t="shared" si="1"/>
        <v>493.06266700000003</v>
      </c>
      <c r="P10" s="212">
        <f t="shared" si="1"/>
        <v>709.27201200000002</v>
      </c>
      <c r="Q10" s="212">
        <f t="shared" si="1"/>
        <v>1112.5042619999999</v>
      </c>
      <c r="R10" s="212">
        <f t="shared" si="1"/>
        <v>1881.8922659999998</v>
      </c>
      <c r="S10" s="212">
        <f t="shared" si="1"/>
        <v>3195.4624519999998</v>
      </c>
      <c r="T10" s="212">
        <f t="shared" si="1"/>
        <v>4367.6401249999999</v>
      </c>
      <c r="U10" s="212">
        <f t="shared" si="1"/>
        <v>5530.1656759999996</v>
      </c>
      <c r="V10" s="212">
        <f t="shared" si="1"/>
        <v>6623.5219799999995</v>
      </c>
      <c r="W10" s="212">
        <f t="shared" si="1"/>
        <v>8111.6060809999999</v>
      </c>
      <c r="X10" s="212">
        <f t="shared" si="1"/>
        <v>10223.322013000001</v>
      </c>
      <c r="Y10" s="212">
        <f t="shared" si="1"/>
        <v>12821.598904</v>
      </c>
      <c r="Z10" s="212">
        <f t="shared" si="1"/>
        <v>16898.326966000001</v>
      </c>
      <c r="AA10" s="212">
        <f t="shared" si="1"/>
        <v>27858.23</v>
      </c>
      <c r="AB10" s="212">
        <f t="shared" si="1"/>
        <v>40846.35</v>
      </c>
      <c r="AC10" s="212">
        <f t="shared" si="1"/>
        <v>51908.71</v>
      </c>
      <c r="AD10" s="212">
        <f t="shared" si="1"/>
        <v>62135.86</v>
      </c>
      <c r="AE10" s="212">
        <f t="shared" si="1"/>
        <v>73123</v>
      </c>
      <c r="AF10" s="212">
        <f t="shared" si="1"/>
        <v>85138.77771200001</v>
      </c>
      <c r="AG10" s="212">
        <f t="shared" si="1"/>
        <v>97693.176911999995</v>
      </c>
      <c r="AH10" s="212">
        <f t="shared" si="1"/>
        <v>105426.50891199999</v>
      </c>
    </row>
    <row r="11" spans="1:35">
      <c r="A11" s="291" t="s">
        <v>307</v>
      </c>
      <c r="B11" s="291"/>
      <c r="C11" s="210">
        <v>9.5</v>
      </c>
      <c r="D11" s="210">
        <v>28.82</v>
      </c>
      <c r="E11" s="210">
        <v>47.5</v>
      </c>
      <c r="F11" s="210">
        <v>65.12</v>
      </c>
      <c r="G11" s="210">
        <v>90.87</v>
      </c>
      <c r="H11" s="210">
        <v>124.28</v>
      </c>
      <c r="I11" s="210">
        <v>151</v>
      </c>
      <c r="J11" s="210">
        <v>189.054</v>
      </c>
      <c r="K11" s="210">
        <v>223.26499999999999</v>
      </c>
      <c r="L11" s="210">
        <v>252.05999999999997</v>
      </c>
      <c r="M11" s="210">
        <v>278.82417199999998</v>
      </c>
      <c r="N11" s="210">
        <v>306.35615199999995</v>
      </c>
      <c r="O11" s="210">
        <v>369.96915199999995</v>
      </c>
      <c r="P11" s="210">
        <v>462.86128099999996</v>
      </c>
      <c r="Q11" s="210">
        <v>610.54608699999994</v>
      </c>
      <c r="R11" s="210">
        <v>822.72373299999992</v>
      </c>
      <c r="S11" s="210">
        <v>1052.7613690000001</v>
      </c>
      <c r="T11" s="210">
        <v>1328.491342</v>
      </c>
      <c r="U11" s="210">
        <v>1636.4943720000001</v>
      </c>
      <c r="V11" s="210">
        <v>2310.2607330000001</v>
      </c>
      <c r="W11" s="210">
        <v>2775.4692789999999</v>
      </c>
      <c r="X11" s="210">
        <v>3825.75</v>
      </c>
      <c r="Y11" s="210">
        <v>4412.9717760000003</v>
      </c>
      <c r="Z11" s="210">
        <v>5698.9876720000002</v>
      </c>
      <c r="AA11" s="210">
        <v>7761.45</v>
      </c>
      <c r="AB11" s="210">
        <v>9194.25</v>
      </c>
      <c r="AC11" s="210">
        <v>10955.06</v>
      </c>
      <c r="AD11" s="210">
        <v>12171.84</v>
      </c>
      <c r="AE11" s="210">
        <v>16365</v>
      </c>
      <c r="AF11" s="211">
        <v>17467.013999999999</v>
      </c>
      <c r="AG11" s="205">
        <v>18809.671962</v>
      </c>
      <c r="AH11" s="205">
        <f>'2. Overall cum progress March14'!M42</f>
        <v>19214.742069</v>
      </c>
    </row>
    <row r="12" spans="1:35">
      <c r="A12" s="286" t="s">
        <v>0</v>
      </c>
      <c r="B12" s="286"/>
      <c r="C12" s="173">
        <v>30651</v>
      </c>
      <c r="D12" s="173">
        <v>31017</v>
      </c>
      <c r="E12" s="173">
        <v>31382</v>
      </c>
      <c r="F12" s="173">
        <v>31747</v>
      </c>
      <c r="G12" s="173">
        <v>32112</v>
      </c>
      <c r="H12" s="173">
        <v>32478</v>
      </c>
      <c r="I12" s="173">
        <v>32843</v>
      </c>
      <c r="J12" s="173">
        <v>33208</v>
      </c>
      <c r="K12" s="173">
        <v>33573</v>
      </c>
      <c r="L12" s="173">
        <v>33939</v>
      </c>
      <c r="M12" s="173">
        <v>34304</v>
      </c>
      <c r="N12" s="173">
        <v>34669</v>
      </c>
      <c r="O12" s="173">
        <v>35034</v>
      </c>
      <c r="P12" s="173">
        <v>35400</v>
      </c>
      <c r="Q12" s="173">
        <v>35765</v>
      </c>
      <c r="R12" s="173">
        <v>36130</v>
      </c>
      <c r="S12" s="173">
        <v>36495</v>
      </c>
      <c r="T12" s="173">
        <v>36861</v>
      </c>
      <c r="U12" s="173">
        <v>37226</v>
      </c>
      <c r="V12" s="173">
        <v>37591</v>
      </c>
      <c r="W12" s="173">
        <v>37956</v>
      </c>
      <c r="X12" s="173">
        <v>38322</v>
      </c>
      <c r="Y12" s="173">
        <v>38687</v>
      </c>
      <c r="Z12" s="173">
        <v>39052</v>
      </c>
      <c r="AA12" s="173">
        <v>39417</v>
      </c>
      <c r="AB12" s="173">
        <v>39783</v>
      </c>
      <c r="AC12" s="173">
        <v>40148</v>
      </c>
      <c r="AD12" s="173">
        <v>40513</v>
      </c>
      <c r="AE12" s="173">
        <v>40878</v>
      </c>
      <c r="AF12" s="173">
        <v>41244</v>
      </c>
      <c r="AG12" s="173">
        <v>41609</v>
      </c>
      <c r="AH12" s="243">
        <f>AH3</f>
        <v>41712</v>
      </c>
    </row>
    <row r="13" spans="1:35">
      <c r="A13" s="288" t="s">
        <v>249</v>
      </c>
      <c r="B13" s="187" t="s">
        <v>17</v>
      </c>
      <c r="C13" s="210">
        <v>0</v>
      </c>
      <c r="D13" s="210">
        <f t="shared" ref="D13:AH14" si="2">D4-C4</f>
        <v>0.52</v>
      </c>
      <c r="E13" s="210">
        <f t="shared" si="2"/>
        <v>0.85999999999999988</v>
      </c>
      <c r="F13" s="210">
        <f t="shared" si="2"/>
        <v>0.74000000000000021</v>
      </c>
      <c r="G13" s="210">
        <f t="shared" si="2"/>
        <v>1.231166</v>
      </c>
      <c r="H13" s="210">
        <f t="shared" si="2"/>
        <v>1.4688340000000002</v>
      </c>
      <c r="I13" s="210">
        <f t="shared" si="2"/>
        <v>2.8200000000000003</v>
      </c>
      <c r="J13" s="210">
        <f t="shared" si="2"/>
        <v>2.7659999999999982</v>
      </c>
      <c r="K13" s="210">
        <f t="shared" si="2"/>
        <v>3.254999999999999</v>
      </c>
      <c r="L13" s="210">
        <f t="shared" si="2"/>
        <v>4.1265999999999998</v>
      </c>
      <c r="M13" s="210">
        <f t="shared" si="2"/>
        <v>5.6232389999999981</v>
      </c>
      <c r="N13" s="210">
        <f t="shared" si="2"/>
        <v>10.486338000000003</v>
      </c>
      <c r="O13" s="210">
        <f t="shared" si="2"/>
        <v>16.225000000000001</v>
      </c>
      <c r="P13" s="210">
        <f t="shared" si="2"/>
        <v>17.722181999999997</v>
      </c>
      <c r="Q13" s="210">
        <f t="shared" si="2"/>
        <v>18.757357999999996</v>
      </c>
      <c r="R13" s="210">
        <f t="shared" si="2"/>
        <v>26.497630000000001</v>
      </c>
      <c r="S13" s="210">
        <f t="shared" si="2"/>
        <v>18.304513000000014</v>
      </c>
      <c r="T13" s="210">
        <f t="shared" si="2"/>
        <v>21.032851999999991</v>
      </c>
      <c r="U13" s="210">
        <f t="shared" si="2"/>
        <v>34.713384999999988</v>
      </c>
      <c r="V13" s="210">
        <f t="shared" si="2"/>
        <v>27.342368999999991</v>
      </c>
      <c r="W13" s="210">
        <f t="shared" si="2"/>
        <v>18.19560899999999</v>
      </c>
      <c r="X13" s="210">
        <f t="shared" si="2"/>
        <v>23.082397000000014</v>
      </c>
      <c r="Y13" s="210">
        <f t="shared" si="2"/>
        <v>30.896794999999997</v>
      </c>
      <c r="Z13" s="210">
        <f t="shared" si="2"/>
        <v>40.234167000000014</v>
      </c>
      <c r="AA13" s="210">
        <f t="shared" si="2"/>
        <v>78.748565999999983</v>
      </c>
      <c r="AB13" s="210">
        <f t="shared" si="2"/>
        <v>33.347000000000037</v>
      </c>
      <c r="AC13" s="210">
        <f t="shared" si="2"/>
        <v>35.462999999999965</v>
      </c>
      <c r="AD13" s="210">
        <f t="shared" si="2"/>
        <v>49.870000000000061</v>
      </c>
      <c r="AE13" s="210">
        <f t="shared" si="2"/>
        <v>69.669999999999959</v>
      </c>
      <c r="AF13" s="210">
        <f>AF4-AE4</f>
        <v>154.18999999999994</v>
      </c>
      <c r="AG13" s="210">
        <f t="shared" si="2"/>
        <v>-55.053546930850075</v>
      </c>
      <c r="AH13" s="210">
        <f t="shared" si="2"/>
        <v>7.6148270000001048</v>
      </c>
      <c r="AI13" s="203">
        <f>SUM(C13:AH13)</f>
        <v>700.75128006914997</v>
      </c>
    </row>
    <row r="14" spans="1:35">
      <c r="A14" s="288"/>
      <c r="B14" s="189" t="s">
        <v>18</v>
      </c>
      <c r="C14" s="210">
        <v>0.66274999999999995</v>
      </c>
      <c r="D14" s="210">
        <f t="shared" si="2"/>
        <v>5.2072500000000002</v>
      </c>
      <c r="E14" s="210">
        <f t="shared" si="2"/>
        <v>4.660000000000001</v>
      </c>
      <c r="F14" s="210">
        <f t="shared" si="2"/>
        <v>7.43</v>
      </c>
      <c r="G14" s="210">
        <f t="shared" si="2"/>
        <v>16.380000000000003</v>
      </c>
      <c r="H14" s="210">
        <f t="shared" si="2"/>
        <v>16.989999999999995</v>
      </c>
      <c r="I14" s="210">
        <f t="shared" si="2"/>
        <v>17.079999999999998</v>
      </c>
      <c r="J14" s="210">
        <f t="shared" si="2"/>
        <v>18.03</v>
      </c>
      <c r="K14" s="210">
        <f t="shared" si="2"/>
        <v>17.710099999999997</v>
      </c>
      <c r="L14" s="210">
        <f t="shared" si="2"/>
        <v>23.239999999999995</v>
      </c>
      <c r="M14" s="210">
        <f t="shared" si="2"/>
        <v>15.65006600000001</v>
      </c>
      <c r="N14" s="210">
        <f t="shared" si="2"/>
        <v>38.211146999999983</v>
      </c>
      <c r="O14" s="210">
        <f t="shared" si="2"/>
        <v>34.90300000000002</v>
      </c>
      <c r="P14" s="210">
        <f t="shared" si="2"/>
        <v>45.522411999999974</v>
      </c>
      <c r="Q14" s="210">
        <f t="shared" si="2"/>
        <v>48.337212000000022</v>
      </c>
      <c r="R14" s="210">
        <f t="shared" si="2"/>
        <v>55.594787999999994</v>
      </c>
      <c r="S14" s="210">
        <f t="shared" si="2"/>
        <v>61.580821000000014</v>
      </c>
      <c r="T14" s="210">
        <f t="shared" si="2"/>
        <v>60.934751000000006</v>
      </c>
      <c r="U14" s="210">
        <f t="shared" si="2"/>
        <v>66.595951999999954</v>
      </c>
      <c r="V14" s="210">
        <f t="shared" si="2"/>
        <v>73.658635000000004</v>
      </c>
      <c r="W14" s="210">
        <f t="shared" si="2"/>
        <v>44.525833000000034</v>
      </c>
      <c r="X14" s="210">
        <f t="shared" si="2"/>
        <v>152.56027899999992</v>
      </c>
      <c r="Y14" s="210">
        <f t="shared" si="2"/>
        <v>91.534447999999998</v>
      </c>
      <c r="Z14" s="210">
        <f t="shared" si="2"/>
        <v>141.279721</v>
      </c>
      <c r="AA14" s="210">
        <f t="shared" si="2"/>
        <v>406.82083499999999</v>
      </c>
      <c r="AB14" s="210">
        <f t="shared" si="2"/>
        <v>136.52600000000007</v>
      </c>
      <c r="AC14" s="210">
        <f t="shared" si="2"/>
        <v>54.574000000000069</v>
      </c>
      <c r="AD14" s="210">
        <f t="shared" si="2"/>
        <v>176.14999999999986</v>
      </c>
      <c r="AE14" s="210">
        <f t="shared" si="2"/>
        <v>-46.349999999999909</v>
      </c>
      <c r="AF14" s="210">
        <f t="shared" si="2"/>
        <v>34.311999999999671</v>
      </c>
      <c r="AG14" s="210">
        <f t="shared" si="2"/>
        <v>4.557677297535065</v>
      </c>
      <c r="AH14" s="210">
        <f t="shared" si="2"/>
        <v>9.6327580000001944</v>
      </c>
      <c r="AI14" s="203">
        <f>SUM(C14:AH14)</f>
        <v>1834.5024352975349</v>
      </c>
    </row>
    <row r="15" spans="1:35">
      <c r="A15" s="288"/>
      <c r="B15" s="184" t="s">
        <v>16</v>
      </c>
      <c r="C15" s="212">
        <f>SUM(C13:C14)</f>
        <v>0.66274999999999995</v>
      </c>
      <c r="D15" s="212">
        <f t="shared" ref="D15:AI15" si="3">SUM(D13:D14)</f>
        <v>5.7272499999999997</v>
      </c>
      <c r="E15" s="212">
        <f t="shared" si="3"/>
        <v>5.5200000000000014</v>
      </c>
      <c r="F15" s="212">
        <f t="shared" si="3"/>
        <v>8.17</v>
      </c>
      <c r="G15" s="212">
        <f t="shared" si="3"/>
        <v>17.611166000000004</v>
      </c>
      <c r="H15" s="212">
        <f t="shared" si="3"/>
        <v>18.458833999999996</v>
      </c>
      <c r="I15" s="212">
        <f t="shared" si="3"/>
        <v>19.899999999999999</v>
      </c>
      <c r="J15" s="212">
        <f t="shared" si="3"/>
        <v>20.795999999999999</v>
      </c>
      <c r="K15" s="212">
        <f t="shared" si="3"/>
        <v>20.965099999999996</v>
      </c>
      <c r="L15" s="212">
        <f t="shared" si="3"/>
        <v>27.366599999999995</v>
      </c>
      <c r="M15" s="212">
        <f t="shared" si="3"/>
        <v>21.273305000000008</v>
      </c>
      <c r="N15" s="212">
        <f t="shared" si="3"/>
        <v>48.697484999999986</v>
      </c>
      <c r="O15" s="212">
        <f t="shared" si="3"/>
        <v>51.128000000000021</v>
      </c>
      <c r="P15" s="212">
        <f t="shared" si="3"/>
        <v>63.244593999999971</v>
      </c>
      <c r="Q15" s="212">
        <f t="shared" si="3"/>
        <v>67.094570000000019</v>
      </c>
      <c r="R15" s="212">
        <f t="shared" si="3"/>
        <v>82.092417999999995</v>
      </c>
      <c r="S15" s="212">
        <f t="shared" si="3"/>
        <v>79.885334000000029</v>
      </c>
      <c r="T15" s="212">
        <f t="shared" si="3"/>
        <v>81.967602999999997</v>
      </c>
      <c r="U15" s="212">
        <f t="shared" si="3"/>
        <v>101.30933699999994</v>
      </c>
      <c r="V15" s="212">
        <f t="shared" si="3"/>
        <v>101.00100399999999</v>
      </c>
      <c r="W15" s="212">
        <f t="shared" si="3"/>
        <v>62.721442000000025</v>
      </c>
      <c r="X15" s="212">
        <f t="shared" si="3"/>
        <v>175.64267599999994</v>
      </c>
      <c r="Y15" s="212">
        <f t="shared" si="3"/>
        <v>122.43124299999999</v>
      </c>
      <c r="Z15" s="212">
        <f t="shared" si="3"/>
        <v>181.51388800000001</v>
      </c>
      <c r="AA15" s="212">
        <f t="shared" si="3"/>
        <v>485.56940099999997</v>
      </c>
      <c r="AB15" s="212">
        <f t="shared" si="3"/>
        <v>169.8730000000001</v>
      </c>
      <c r="AC15" s="212">
        <f t="shared" si="3"/>
        <v>90.037000000000035</v>
      </c>
      <c r="AD15" s="212">
        <f t="shared" si="3"/>
        <v>226.01999999999992</v>
      </c>
      <c r="AE15" s="212">
        <f t="shared" si="3"/>
        <v>23.32000000000005</v>
      </c>
      <c r="AF15" s="212">
        <f t="shared" si="3"/>
        <v>188.50199999999961</v>
      </c>
      <c r="AG15" s="212">
        <f t="shared" si="3"/>
        <v>-50.49586963331501</v>
      </c>
      <c r="AH15" s="212">
        <f t="shared" ref="AH15" si="4">SUM(AH13:AH14)</f>
        <v>17.247585000000299</v>
      </c>
      <c r="AI15" s="212">
        <f t="shared" si="3"/>
        <v>2535.2537153666849</v>
      </c>
    </row>
    <row r="16" spans="1:35">
      <c r="A16" s="288" t="s">
        <v>259</v>
      </c>
      <c r="B16" s="187" t="s">
        <v>17</v>
      </c>
      <c r="C16" s="210">
        <f>C13/C$2</f>
        <v>0</v>
      </c>
      <c r="D16" s="210">
        <f t="shared" ref="D16:AG17" si="5">D13/D$2</f>
        <v>3.510839819216055E-2</v>
      </c>
      <c r="E16" s="210">
        <f t="shared" si="5"/>
        <v>5.7742744791973694E-2</v>
      </c>
      <c r="F16" s="210">
        <f t="shared" si="5"/>
        <v>4.9195991244709115E-2</v>
      </c>
      <c r="G16" s="210">
        <f t="shared" si="5"/>
        <v>7.6283450910287084E-2</v>
      </c>
      <c r="H16" s="210">
        <f t="shared" si="5"/>
        <v>7.4020507055949356E-2</v>
      </c>
      <c r="I16" s="210">
        <f t="shared" si="5"/>
        <v>0.12957476457023429</v>
      </c>
      <c r="J16" s="210">
        <f t="shared" si="5"/>
        <v>0.1353002778351583</v>
      </c>
      <c r="K16" s="210">
        <f t="shared" si="5"/>
        <v>0.1239141852962095</v>
      </c>
      <c r="L16" s="210">
        <f t="shared" si="5"/>
        <v>0.15877115603723413</v>
      </c>
      <c r="M16" s="210">
        <f t="shared" si="5"/>
        <v>0.19341760749802403</v>
      </c>
      <c r="N16" s="210">
        <f t="shared" si="5"/>
        <v>0.36498478240720078</v>
      </c>
      <c r="O16" s="210">
        <f t="shared" si="5"/>
        <v>0.54498557845558648</v>
      </c>
      <c r="P16" s="210">
        <f t="shared" si="5"/>
        <v>0.47443657220018159</v>
      </c>
      <c r="Q16" s="210">
        <f t="shared" si="5"/>
        <v>0.41262207447469607</v>
      </c>
      <c r="R16" s="210">
        <f t="shared" si="5"/>
        <v>0.59634206170378834</v>
      </c>
      <c r="S16" s="210">
        <f t="shared" si="5"/>
        <v>0.33735257088481235</v>
      </c>
      <c r="T16" s="210">
        <f t="shared" si="5"/>
        <v>0.37763432452103757</v>
      </c>
      <c r="U16" s="210">
        <f t="shared" si="5"/>
        <v>0.55648657641113319</v>
      </c>
      <c r="V16" s="210">
        <f t="shared" si="5"/>
        <v>0.45957828857217398</v>
      </c>
      <c r="W16" s="210">
        <f t="shared" si="5"/>
        <v>0.31472432991387567</v>
      </c>
      <c r="X16" s="210">
        <f t="shared" si="5"/>
        <v>0.39550887367720067</v>
      </c>
      <c r="Y16" s="210">
        <f t="shared" si="5"/>
        <v>0.51835924461687222</v>
      </c>
      <c r="Z16" s="210">
        <f t="shared" si="5"/>
        <v>0.66763303301255283</v>
      </c>
      <c r="AA16" s="210">
        <f t="shared" si="5"/>
        <v>1.2978788351102013</v>
      </c>
      <c r="AB16" s="210">
        <f t="shared" si="5"/>
        <v>0.47220478612622263</v>
      </c>
      <c r="AC16" s="210">
        <f t="shared" si="5"/>
        <v>0.43460592077801807</v>
      </c>
      <c r="AD16" s="210">
        <f t="shared" si="5"/>
        <v>0.58506794677859753</v>
      </c>
      <c r="AE16" s="210">
        <f t="shared" si="5"/>
        <v>0.80674833927316758</v>
      </c>
      <c r="AF16" s="210">
        <f t="shared" si="5"/>
        <v>1.6511027115242038</v>
      </c>
      <c r="AG16" s="210">
        <f>AG13/AG$2</f>
        <v>-0.54180332801353881</v>
      </c>
      <c r="AH16" s="210">
        <f t="shared" ref="AH16" si="6">AH13/AH$2</f>
        <v>7.4940468704578406E-2</v>
      </c>
      <c r="AI16" s="203">
        <f>SUM(C16:AH16)</f>
        <v>11.834723074564501</v>
      </c>
    </row>
    <row r="17" spans="1:35">
      <c r="A17" s="288"/>
      <c r="B17" s="189" t="s">
        <v>18</v>
      </c>
      <c r="C17" s="210">
        <f>C14/C$2</f>
        <v>4.6383685708204864E-2</v>
      </c>
      <c r="D17" s="210">
        <f t="shared" si="5"/>
        <v>0.35157347401178468</v>
      </c>
      <c r="E17" s="210">
        <f t="shared" si="5"/>
        <v>0.31288510550069476</v>
      </c>
      <c r="F17" s="210">
        <f t="shared" si="5"/>
        <v>0.4939543445245792</v>
      </c>
      <c r="G17" s="210">
        <f t="shared" si="5"/>
        <v>1.0149101956279678</v>
      </c>
      <c r="H17" s="210">
        <f t="shared" si="5"/>
        <v>0.85619506008206447</v>
      </c>
      <c r="I17" s="210">
        <f t="shared" si="5"/>
        <v>0.7848003471133338</v>
      </c>
      <c r="J17" s="210">
        <f t="shared" si="5"/>
        <v>0.88194649651768098</v>
      </c>
      <c r="K17" s="210">
        <f t="shared" si="5"/>
        <v>0.67420356774635948</v>
      </c>
      <c r="L17" s="210">
        <f t="shared" si="5"/>
        <v>0.89416024482753864</v>
      </c>
      <c r="M17" s="210">
        <f t="shared" si="5"/>
        <v>0.53830155945820091</v>
      </c>
      <c r="N17" s="210">
        <f t="shared" si="5"/>
        <v>1.3299673511691643</v>
      </c>
      <c r="O17" s="210">
        <f t="shared" si="5"/>
        <v>1.1723655867386962</v>
      </c>
      <c r="P17" s="210">
        <f t="shared" si="5"/>
        <v>1.2186703142741906</v>
      </c>
      <c r="Q17" s="210">
        <f t="shared" si="5"/>
        <v>1.0633160965293291</v>
      </c>
      <c r="R17" s="210">
        <f t="shared" si="5"/>
        <v>1.2511877664494908</v>
      </c>
      <c r="S17" s="210">
        <f t="shared" si="5"/>
        <v>1.1349358642618588</v>
      </c>
      <c r="T17" s="210">
        <f t="shared" si="5"/>
        <v>1.0940529384099993</v>
      </c>
      <c r="U17" s="210">
        <f t="shared" si="5"/>
        <v>1.0675926110726495</v>
      </c>
      <c r="V17" s="210">
        <f t="shared" si="5"/>
        <v>1.2380752162280615</v>
      </c>
      <c r="W17" s="210">
        <f t="shared" si="5"/>
        <v>0.77015080697668048</v>
      </c>
      <c r="X17" s="210">
        <f t="shared" si="5"/>
        <v>2.6140675127964146</v>
      </c>
      <c r="Y17" s="210">
        <f t="shared" si="5"/>
        <v>1.535684439816569</v>
      </c>
      <c r="Z17" s="210">
        <f t="shared" si="5"/>
        <v>2.3443509749909128</v>
      </c>
      <c r="AA17" s="210">
        <f t="shared" si="5"/>
        <v>6.7049367150172552</v>
      </c>
      <c r="AB17" s="210">
        <f t="shared" si="5"/>
        <v>1.9332542846633469</v>
      </c>
      <c r="AC17" s="210">
        <f t="shared" si="5"/>
        <v>0.6688149203547249</v>
      </c>
      <c r="AD17" s="210">
        <f t="shared" si="5"/>
        <v>2.0665674518758723</v>
      </c>
      <c r="AE17" s="210">
        <f t="shared" si="5"/>
        <v>-0.53671286816867037</v>
      </c>
      <c r="AF17" s="210">
        <f t="shared" si="5"/>
        <v>0.3674209497231854</v>
      </c>
      <c r="AG17" s="210">
        <f t="shared" si="5"/>
        <v>4.4853871648231708E-2</v>
      </c>
      <c r="AH17" s="210">
        <f t="shared" ref="AH17" si="7">AH14/AH$2</f>
        <v>9.479971106865355E-2</v>
      </c>
      <c r="AI17" s="203">
        <f>SUM(C17:AH17)</f>
        <v>36.02766659701502</v>
      </c>
    </row>
    <row r="18" spans="1:35">
      <c r="A18" s="288"/>
      <c r="B18" s="184" t="s">
        <v>16</v>
      </c>
      <c r="C18" s="212">
        <f>C17+C16</f>
        <v>4.6383685708204864E-2</v>
      </c>
      <c r="D18" s="212">
        <f t="shared" ref="D18:AI18" si="8">D17+D16</f>
        <v>0.38668187220394523</v>
      </c>
      <c r="E18" s="212">
        <f t="shared" si="8"/>
        <v>0.37062785029266843</v>
      </c>
      <c r="F18" s="212">
        <f t="shared" si="8"/>
        <v>0.54315033576928828</v>
      </c>
      <c r="G18" s="212">
        <f t="shared" si="8"/>
        <v>1.0911936465382548</v>
      </c>
      <c r="H18" s="212">
        <f t="shared" si="8"/>
        <v>0.93021556713801379</v>
      </c>
      <c r="I18" s="212">
        <f t="shared" si="8"/>
        <v>0.91437511168356811</v>
      </c>
      <c r="J18" s="212">
        <f t="shared" si="8"/>
        <v>1.0172467743528393</v>
      </c>
      <c r="K18" s="212">
        <f t="shared" si="8"/>
        <v>0.79811775304256893</v>
      </c>
      <c r="L18" s="212">
        <f t="shared" si="8"/>
        <v>1.0529314008647728</v>
      </c>
      <c r="M18" s="212">
        <f t="shared" si="8"/>
        <v>0.73171916695622496</v>
      </c>
      <c r="N18" s="212">
        <f t="shared" si="8"/>
        <v>1.6949521335763651</v>
      </c>
      <c r="O18" s="212">
        <f t="shared" si="8"/>
        <v>1.7173511651942825</v>
      </c>
      <c r="P18" s="212">
        <f t="shared" si="8"/>
        <v>1.6931068864743721</v>
      </c>
      <c r="Q18" s="212">
        <f t="shared" si="8"/>
        <v>1.4759381710040251</v>
      </c>
      <c r="R18" s="212">
        <f t="shared" si="8"/>
        <v>1.847529828153279</v>
      </c>
      <c r="S18" s="212">
        <f t="shared" si="8"/>
        <v>1.4722884351466712</v>
      </c>
      <c r="T18" s="212">
        <f t="shared" si="8"/>
        <v>1.4716872629310369</v>
      </c>
      <c r="U18" s="212">
        <f t="shared" si="8"/>
        <v>1.6240791874837828</v>
      </c>
      <c r="V18" s="212">
        <f t="shared" si="8"/>
        <v>1.6976535048002355</v>
      </c>
      <c r="W18" s="212">
        <f t="shared" si="8"/>
        <v>1.084875136890556</v>
      </c>
      <c r="X18" s="212">
        <f t="shared" si="8"/>
        <v>3.0095763864736154</v>
      </c>
      <c r="Y18" s="212">
        <f t="shared" si="8"/>
        <v>2.0540436844334411</v>
      </c>
      <c r="Z18" s="212">
        <f t="shared" si="8"/>
        <v>3.0119840080034654</v>
      </c>
      <c r="AA18" s="212">
        <f t="shared" si="8"/>
        <v>8.0028155501274565</v>
      </c>
      <c r="AB18" s="212">
        <f t="shared" si="8"/>
        <v>2.4054590707895693</v>
      </c>
      <c r="AC18" s="212">
        <f t="shared" si="8"/>
        <v>1.1034208411327429</v>
      </c>
      <c r="AD18" s="212">
        <f t="shared" si="8"/>
        <v>2.6516353986544701</v>
      </c>
      <c r="AE18" s="212">
        <f t="shared" si="8"/>
        <v>0.27003547110449722</v>
      </c>
      <c r="AF18" s="212">
        <f t="shared" si="8"/>
        <v>2.0185236612473894</v>
      </c>
      <c r="AG18" s="212">
        <f t="shared" si="8"/>
        <v>-0.49694945636530707</v>
      </c>
      <c r="AH18" s="212">
        <f t="shared" ref="AH18" si="9">AH17+AH16</f>
        <v>0.16974017977323197</v>
      </c>
      <c r="AI18" s="212">
        <f t="shared" si="8"/>
        <v>47.862389671579521</v>
      </c>
    </row>
    <row r="19" spans="1:35" ht="29.25">
      <c r="A19" s="213" t="s">
        <v>205</v>
      </c>
      <c r="B19" s="183" t="s">
        <v>250</v>
      </c>
      <c r="C19" s="214">
        <v>0</v>
      </c>
      <c r="D19" s="214">
        <f>D7-C7</f>
        <v>0</v>
      </c>
      <c r="E19" s="214">
        <f t="shared" ref="E19:AH19" si="10">E7-D7</f>
        <v>0</v>
      </c>
      <c r="F19" s="214">
        <f t="shared" si="10"/>
        <v>0</v>
      </c>
      <c r="G19" s="214">
        <f t="shared" si="10"/>
        <v>0</v>
      </c>
      <c r="H19" s="214">
        <f t="shared" si="10"/>
        <v>0</v>
      </c>
      <c r="I19" s="214">
        <f t="shared" si="10"/>
        <v>0</v>
      </c>
      <c r="J19" s="214">
        <f t="shared" si="10"/>
        <v>0</v>
      </c>
      <c r="K19" s="214">
        <f t="shared" si="10"/>
        <v>0</v>
      </c>
      <c r="L19" s="214">
        <f t="shared" si="10"/>
        <v>0</v>
      </c>
      <c r="M19" s="214">
        <f t="shared" si="10"/>
        <v>0</v>
      </c>
      <c r="N19" s="214">
        <f t="shared" si="10"/>
        <v>0</v>
      </c>
      <c r="O19" s="214">
        <f t="shared" si="10"/>
        <v>0</v>
      </c>
      <c r="P19" s="214">
        <f t="shared" si="10"/>
        <v>0</v>
      </c>
      <c r="Q19" s="214">
        <f t="shared" si="10"/>
        <v>0</v>
      </c>
      <c r="R19" s="214">
        <f t="shared" si="10"/>
        <v>0</v>
      </c>
      <c r="S19" s="214">
        <f t="shared" si="10"/>
        <v>0</v>
      </c>
      <c r="T19" s="214">
        <f t="shared" si="10"/>
        <v>0</v>
      </c>
      <c r="U19" s="214">
        <f t="shared" si="10"/>
        <v>0</v>
      </c>
      <c r="V19" s="214">
        <f t="shared" si="10"/>
        <v>0</v>
      </c>
      <c r="W19" s="214">
        <f t="shared" si="10"/>
        <v>0</v>
      </c>
      <c r="X19" s="214">
        <f t="shared" si="10"/>
        <v>0</v>
      </c>
      <c r="Y19" s="214">
        <f t="shared" si="10"/>
        <v>0</v>
      </c>
      <c r="Z19" s="214">
        <f t="shared" si="10"/>
        <v>0</v>
      </c>
      <c r="AA19" s="214">
        <f t="shared" si="10"/>
        <v>0</v>
      </c>
      <c r="AB19" s="214">
        <f t="shared" si="10"/>
        <v>0</v>
      </c>
      <c r="AC19" s="214">
        <f t="shared" si="10"/>
        <v>0</v>
      </c>
      <c r="AD19" s="214">
        <f t="shared" si="10"/>
        <v>0</v>
      </c>
      <c r="AE19" s="214">
        <f t="shared" si="10"/>
        <v>1106</v>
      </c>
      <c r="AF19" s="214">
        <f t="shared" si="10"/>
        <v>546.9050830000001</v>
      </c>
      <c r="AG19" s="214">
        <f t="shared" si="10"/>
        <v>224.39499999999998</v>
      </c>
      <c r="AH19" s="214">
        <f t="shared" si="10"/>
        <v>156.94949999999994</v>
      </c>
      <c r="AI19" s="203">
        <f>SUM(C19:AH19)</f>
        <v>2034.249583</v>
      </c>
    </row>
    <row r="20" spans="1:35" ht="29.25">
      <c r="A20" s="213" t="s">
        <v>205</v>
      </c>
      <c r="B20" s="183" t="s">
        <v>260</v>
      </c>
      <c r="C20" s="214">
        <f>C19/C$2</f>
        <v>0</v>
      </c>
      <c r="D20" s="214">
        <f t="shared" ref="D20:AG20" si="11">D19/D$2</f>
        <v>0</v>
      </c>
      <c r="E20" s="214">
        <f t="shared" si="11"/>
        <v>0</v>
      </c>
      <c r="F20" s="214">
        <f t="shared" si="11"/>
        <v>0</v>
      </c>
      <c r="G20" s="214">
        <f t="shared" si="11"/>
        <v>0</v>
      </c>
      <c r="H20" s="214">
        <f t="shared" si="11"/>
        <v>0</v>
      </c>
      <c r="I20" s="214">
        <f t="shared" si="11"/>
        <v>0</v>
      </c>
      <c r="J20" s="214">
        <f t="shared" si="11"/>
        <v>0</v>
      </c>
      <c r="K20" s="214">
        <f t="shared" si="11"/>
        <v>0</v>
      </c>
      <c r="L20" s="214">
        <f t="shared" si="11"/>
        <v>0</v>
      </c>
      <c r="M20" s="214">
        <f t="shared" si="11"/>
        <v>0</v>
      </c>
      <c r="N20" s="214">
        <f t="shared" si="11"/>
        <v>0</v>
      </c>
      <c r="O20" s="214">
        <f t="shared" si="11"/>
        <v>0</v>
      </c>
      <c r="P20" s="214">
        <f t="shared" si="11"/>
        <v>0</v>
      </c>
      <c r="Q20" s="214">
        <f t="shared" si="11"/>
        <v>0</v>
      </c>
      <c r="R20" s="214">
        <f t="shared" si="11"/>
        <v>0</v>
      </c>
      <c r="S20" s="214">
        <f t="shared" si="11"/>
        <v>0</v>
      </c>
      <c r="T20" s="214">
        <f t="shared" si="11"/>
        <v>0</v>
      </c>
      <c r="U20" s="214">
        <f t="shared" si="11"/>
        <v>0</v>
      </c>
      <c r="V20" s="214">
        <f t="shared" si="11"/>
        <v>0</v>
      </c>
      <c r="W20" s="214">
        <f t="shared" si="11"/>
        <v>0</v>
      </c>
      <c r="X20" s="214">
        <f t="shared" si="11"/>
        <v>0</v>
      </c>
      <c r="Y20" s="214">
        <f t="shared" si="11"/>
        <v>0</v>
      </c>
      <c r="Z20" s="214">
        <f t="shared" si="11"/>
        <v>0</v>
      </c>
      <c r="AA20" s="214">
        <f t="shared" si="11"/>
        <v>0</v>
      </c>
      <c r="AB20" s="214">
        <f t="shared" si="11"/>
        <v>0</v>
      </c>
      <c r="AC20" s="214">
        <f t="shared" si="11"/>
        <v>0</v>
      </c>
      <c r="AD20" s="214">
        <f t="shared" si="11"/>
        <v>0</v>
      </c>
      <c r="AE20" s="214">
        <f t="shared" si="11"/>
        <v>12.806999615847909</v>
      </c>
      <c r="AF20" s="214">
        <f t="shared" si="11"/>
        <v>5.8563879984932248</v>
      </c>
      <c r="AG20" s="214">
        <f t="shared" si="11"/>
        <v>2.2083583087263361</v>
      </c>
      <c r="AH20" s="214">
        <f t="shared" ref="AH20" si="12">AH19/AH$2</f>
        <v>1.5446009598050046</v>
      </c>
      <c r="AI20" s="203">
        <f>SUM(C20:AH20)</f>
        <v>22.416346882872475</v>
      </c>
    </row>
    <row r="21" spans="1:35">
      <c r="A21" s="288" t="s">
        <v>20</v>
      </c>
      <c r="B21" s="187" t="s">
        <v>17</v>
      </c>
      <c r="C21" s="210">
        <v>0</v>
      </c>
      <c r="D21" s="210">
        <f>D8-C8</f>
        <v>0</v>
      </c>
      <c r="E21" s="210">
        <f t="shared" ref="E21:AH21" si="13">E8-D8</f>
        <v>0</v>
      </c>
      <c r="F21" s="210">
        <f t="shared" si="13"/>
        <v>0</v>
      </c>
      <c r="G21" s="210">
        <f t="shared" si="13"/>
        <v>0.72933599999999998</v>
      </c>
      <c r="H21" s="210">
        <f t="shared" si="13"/>
        <v>1.949363</v>
      </c>
      <c r="I21" s="210">
        <f t="shared" si="13"/>
        <v>1.221301</v>
      </c>
      <c r="J21" s="210">
        <f t="shared" si="13"/>
        <v>2.1800000000000002</v>
      </c>
      <c r="K21" s="210">
        <f t="shared" si="13"/>
        <v>2.0181000000000004</v>
      </c>
      <c r="L21" s="210">
        <f t="shared" si="13"/>
        <v>2.9880000000000013</v>
      </c>
      <c r="M21" s="210">
        <f t="shared" si="13"/>
        <v>5.5719999999999992</v>
      </c>
      <c r="N21" s="210">
        <f t="shared" si="13"/>
        <v>11.177299999999999</v>
      </c>
      <c r="O21" s="210">
        <f t="shared" si="13"/>
        <v>24.120340000000006</v>
      </c>
      <c r="P21" s="210">
        <f t="shared" si="13"/>
        <v>37.729725000000002</v>
      </c>
      <c r="Q21" s="210">
        <f t="shared" si="13"/>
        <v>81.712613999999988</v>
      </c>
      <c r="R21" s="210">
        <f t="shared" si="13"/>
        <v>86.395415000000014</v>
      </c>
      <c r="S21" s="210">
        <f t="shared" si="13"/>
        <v>135.85985000000005</v>
      </c>
      <c r="T21" s="210">
        <f t="shared" si="13"/>
        <v>200.17316600000004</v>
      </c>
      <c r="U21" s="210">
        <f t="shared" si="13"/>
        <v>243.97975999999994</v>
      </c>
      <c r="V21" s="210">
        <f t="shared" si="13"/>
        <v>291.80744000000004</v>
      </c>
      <c r="W21" s="210">
        <f t="shared" si="13"/>
        <v>435.03585100000009</v>
      </c>
      <c r="X21" s="210">
        <f t="shared" si="13"/>
        <v>577.2259210000002</v>
      </c>
      <c r="Y21" s="210">
        <f t="shared" si="13"/>
        <v>822.08119100000022</v>
      </c>
      <c r="Z21" s="210">
        <f t="shared" si="13"/>
        <v>1235.2688799999996</v>
      </c>
      <c r="AA21" s="210">
        <f t="shared" si="13"/>
        <v>3863.074447</v>
      </c>
      <c r="AB21" s="210">
        <f t="shared" si="13"/>
        <v>4226.8900000000003</v>
      </c>
      <c r="AC21" s="210">
        <f t="shared" si="13"/>
        <v>4003.1999999999989</v>
      </c>
      <c r="AD21" s="210">
        <f t="shared" si="13"/>
        <v>2173.7400000000016</v>
      </c>
      <c r="AE21" s="210">
        <f t="shared" si="13"/>
        <v>8379.869999999999</v>
      </c>
      <c r="AF21" s="210">
        <f t="shared" si="13"/>
        <v>7935.0157099999997</v>
      </c>
      <c r="AG21" s="210">
        <f t="shared" si="13"/>
        <v>8441.3073999999979</v>
      </c>
      <c r="AH21" s="210">
        <f t="shared" si="13"/>
        <v>5396.662599999996</v>
      </c>
      <c r="AI21" s="203">
        <f>SUM(C21:AH21)</f>
        <v>48618.985709999994</v>
      </c>
    </row>
    <row r="22" spans="1:35">
      <c r="A22" s="288"/>
      <c r="B22" s="189" t="s">
        <v>18</v>
      </c>
      <c r="C22" s="210">
        <v>0.71</v>
      </c>
      <c r="D22" s="210">
        <f t="shared" ref="D22:AH22" si="14">D9-C9</f>
        <v>2.81</v>
      </c>
      <c r="E22" s="210">
        <f t="shared" si="14"/>
        <v>5.0500000000000007</v>
      </c>
      <c r="F22" s="210">
        <f t="shared" si="14"/>
        <v>16.18</v>
      </c>
      <c r="G22" s="210">
        <f t="shared" si="14"/>
        <v>25.267663999999996</v>
      </c>
      <c r="H22" s="210">
        <f t="shared" si="14"/>
        <v>32.603636999999992</v>
      </c>
      <c r="I22" s="210">
        <f t="shared" si="14"/>
        <v>28.878699000000012</v>
      </c>
      <c r="J22" s="210">
        <f t="shared" si="14"/>
        <v>11.870000000000005</v>
      </c>
      <c r="K22" s="210">
        <f t="shared" si="14"/>
        <v>9.6295650000000137</v>
      </c>
      <c r="L22" s="210">
        <f t="shared" si="14"/>
        <v>11.874988000000002</v>
      </c>
      <c r="M22" s="210">
        <f t="shared" si="14"/>
        <v>8.342000000000013</v>
      </c>
      <c r="N22" s="210">
        <f t="shared" si="14"/>
        <v>175.777874</v>
      </c>
      <c r="O22" s="210">
        <f t="shared" si="14"/>
        <v>112.11250000000001</v>
      </c>
      <c r="P22" s="210">
        <f t="shared" si="14"/>
        <v>178.47961999999995</v>
      </c>
      <c r="Q22" s="210">
        <f t="shared" si="14"/>
        <v>321.51963599999999</v>
      </c>
      <c r="R22" s="210">
        <f t="shared" si="14"/>
        <v>682.99258899999984</v>
      </c>
      <c r="S22" s="210">
        <f t="shared" si="14"/>
        <v>1177.7103360000001</v>
      </c>
      <c r="T22" s="210">
        <f t="shared" si="14"/>
        <v>972.0045070000001</v>
      </c>
      <c r="U22" s="210">
        <f t="shared" si="14"/>
        <v>918.54579099999955</v>
      </c>
      <c r="V22" s="210">
        <f t="shared" si="14"/>
        <v>801.54886400000032</v>
      </c>
      <c r="W22" s="210">
        <f t="shared" si="14"/>
        <v>1053.0482499999998</v>
      </c>
      <c r="X22" s="210">
        <f t="shared" si="14"/>
        <v>1534.4900109999999</v>
      </c>
      <c r="Y22" s="210">
        <f t="shared" si="14"/>
        <v>1776.1957000000002</v>
      </c>
      <c r="Z22" s="210">
        <f t="shared" si="14"/>
        <v>2841.4591820000005</v>
      </c>
      <c r="AA22" s="210">
        <f t="shared" si="14"/>
        <v>7096.828587</v>
      </c>
      <c r="AB22" s="210">
        <f t="shared" si="14"/>
        <v>8761.23</v>
      </c>
      <c r="AC22" s="210">
        <f t="shared" si="14"/>
        <v>7059.16</v>
      </c>
      <c r="AD22" s="210">
        <f t="shared" si="14"/>
        <v>8053.4100000000035</v>
      </c>
      <c r="AE22" s="210">
        <f t="shared" si="14"/>
        <v>2607.2699999999968</v>
      </c>
      <c r="AF22" s="210">
        <f t="shared" si="14"/>
        <v>4080.7620020000031</v>
      </c>
      <c r="AG22" s="210">
        <f t="shared" si="14"/>
        <v>4113.091800000002</v>
      </c>
      <c r="AH22" s="210">
        <f t="shared" si="14"/>
        <v>2336.6693999999916</v>
      </c>
      <c r="AI22" s="203">
        <f>SUM(C22:AH22)</f>
        <v>56807.523201999997</v>
      </c>
    </row>
    <row r="23" spans="1:35">
      <c r="A23" s="288"/>
      <c r="B23" s="184" t="s">
        <v>16</v>
      </c>
      <c r="C23" s="212">
        <f>SUM(C21:C22)</f>
        <v>0.71</v>
      </c>
      <c r="D23" s="212">
        <f t="shared" ref="D23:AI23" si="15">SUM(D21:D22)</f>
        <v>2.81</v>
      </c>
      <c r="E23" s="212">
        <f t="shared" si="15"/>
        <v>5.0500000000000007</v>
      </c>
      <c r="F23" s="212">
        <f t="shared" si="15"/>
        <v>16.18</v>
      </c>
      <c r="G23" s="212">
        <f t="shared" si="15"/>
        <v>25.996999999999996</v>
      </c>
      <c r="H23" s="212">
        <f t="shared" si="15"/>
        <v>34.55299999999999</v>
      </c>
      <c r="I23" s="212">
        <f t="shared" si="15"/>
        <v>30.100000000000012</v>
      </c>
      <c r="J23" s="212">
        <f t="shared" si="15"/>
        <v>14.050000000000004</v>
      </c>
      <c r="K23" s="212">
        <f t="shared" si="15"/>
        <v>11.647665000000014</v>
      </c>
      <c r="L23" s="212">
        <f t="shared" si="15"/>
        <v>14.862988000000003</v>
      </c>
      <c r="M23" s="212">
        <f t="shared" si="15"/>
        <v>13.914000000000012</v>
      </c>
      <c r="N23" s="212">
        <f t="shared" si="15"/>
        <v>186.955174</v>
      </c>
      <c r="O23" s="212">
        <f t="shared" si="15"/>
        <v>136.23284000000001</v>
      </c>
      <c r="P23" s="212">
        <f t="shared" si="15"/>
        <v>216.20934499999996</v>
      </c>
      <c r="Q23" s="212">
        <f t="shared" si="15"/>
        <v>403.23224999999996</v>
      </c>
      <c r="R23" s="212">
        <f t="shared" si="15"/>
        <v>769.38800399999991</v>
      </c>
      <c r="S23" s="212">
        <f t="shared" si="15"/>
        <v>1313.5701860000001</v>
      </c>
      <c r="T23" s="212">
        <f t="shared" si="15"/>
        <v>1172.1776730000001</v>
      </c>
      <c r="U23" s="212">
        <f t="shared" si="15"/>
        <v>1162.5255509999995</v>
      </c>
      <c r="V23" s="212">
        <f t="shared" si="15"/>
        <v>1093.3563040000004</v>
      </c>
      <c r="W23" s="212">
        <f t="shared" si="15"/>
        <v>1488.0841009999999</v>
      </c>
      <c r="X23" s="212">
        <f t="shared" si="15"/>
        <v>2111.7159320000001</v>
      </c>
      <c r="Y23" s="212">
        <f t="shared" si="15"/>
        <v>2598.2768910000004</v>
      </c>
      <c r="Z23" s="212">
        <f t="shared" si="15"/>
        <v>4076.7280620000001</v>
      </c>
      <c r="AA23" s="212">
        <f t="shared" si="15"/>
        <v>10959.903033999999</v>
      </c>
      <c r="AB23" s="212">
        <f t="shared" si="15"/>
        <v>12988.119999999999</v>
      </c>
      <c r="AC23" s="212">
        <f t="shared" si="15"/>
        <v>11062.359999999999</v>
      </c>
      <c r="AD23" s="212">
        <f t="shared" si="15"/>
        <v>10227.150000000005</v>
      </c>
      <c r="AE23" s="212">
        <f t="shared" si="15"/>
        <v>10987.139999999996</v>
      </c>
      <c r="AF23" s="212">
        <f t="shared" si="15"/>
        <v>12015.777712000003</v>
      </c>
      <c r="AG23" s="212">
        <f t="shared" si="15"/>
        <v>12554.3992</v>
      </c>
      <c r="AH23" s="212">
        <f t="shared" ref="AH23" si="16">SUM(AH21:AH22)</f>
        <v>7733.3319999999876</v>
      </c>
      <c r="AI23" s="212">
        <f t="shared" si="15"/>
        <v>105426.50891199999</v>
      </c>
    </row>
    <row r="24" spans="1:35">
      <c r="A24" s="288" t="s">
        <v>261</v>
      </c>
      <c r="B24" s="187" t="s">
        <v>17</v>
      </c>
      <c r="C24" s="210">
        <f>C21/C$2</f>
        <v>0</v>
      </c>
      <c r="D24" s="210">
        <f t="shared" ref="D24:AG24" si="17">D21/D$2</f>
        <v>0</v>
      </c>
      <c r="E24" s="210">
        <f t="shared" si="17"/>
        <v>0</v>
      </c>
      <c r="F24" s="210">
        <f t="shared" si="17"/>
        <v>0</v>
      </c>
      <c r="G24" s="210">
        <f t="shared" si="17"/>
        <v>4.5189898805770415E-2</v>
      </c>
      <c r="H24" s="210">
        <f t="shared" si="17"/>
        <v>9.8236313767319242E-2</v>
      </c>
      <c r="I24" s="210">
        <f t="shared" si="17"/>
        <v>5.6116946646947406E-2</v>
      </c>
      <c r="J24" s="210">
        <f t="shared" si="17"/>
        <v>0.10663579381079005</v>
      </c>
      <c r="K24" s="210">
        <f t="shared" si="17"/>
        <v>7.6826794883649921E-2</v>
      </c>
      <c r="L24" s="210">
        <f t="shared" si="17"/>
        <v>0.11496346004925503</v>
      </c>
      <c r="M24" s="210">
        <f t="shared" si="17"/>
        <v>0.19165518466830062</v>
      </c>
      <c r="N24" s="210">
        <f t="shared" si="17"/>
        <v>0.38903422800218757</v>
      </c>
      <c r="O24" s="210">
        <f t="shared" si="17"/>
        <v>0.81018412619078117</v>
      </c>
      <c r="P24" s="210">
        <f t="shared" si="17"/>
        <v>1.0100540327966105</v>
      </c>
      <c r="Q24" s="210">
        <f t="shared" si="17"/>
        <v>1.7975041207525118</v>
      </c>
      <c r="R24" s="210">
        <f t="shared" si="17"/>
        <v>1.944370870257242</v>
      </c>
      <c r="S24" s="210">
        <f t="shared" si="17"/>
        <v>2.5038999768813817</v>
      </c>
      <c r="T24" s="210">
        <f t="shared" si="17"/>
        <v>3.5940089498869465</v>
      </c>
      <c r="U24" s="210">
        <f t="shared" si="17"/>
        <v>3.9112135378330275</v>
      </c>
      <c r="V24" s="210">
        <f t="shared" si="17"/>
        <v>4.9047821667474167</v>
      </c>
      <c r="W24" s="210">
        <f t="shared" si="17"/>
        <v>7.5246927263873253</v>
      </c>
      <c r="X24" s="210">
        <f t="shared" si="17"/>
        <v>9.8905661258661635</v>
      </c>
      <c r="Y24" s="210">
        <f t="shared" si="17"/>
        <v>13.792154985023489</v>
      </c>
      <c r="Z24" s="210">
        <f t="shared" si="17"/>
        <v>20.497660829921458</v>
      </c>
      <c r="AA24" s="210">
        <f t="shared" si="17"/>
        <v>63.668493509029055</v>
      </c>
      <c r="AB24" s="210">
        <f t="shared" si="17"/>
        <v>59.85419043479375</v>
      </c>
      <c r="AC24" s="210">
        <f t="shared" si="17"/>
        <v>49.059989906622768</v>
      </c>
      <c r="AD24" s="210">
        <f t="shared" si="17"/>
        <v>25.502017217375336</v>
      </c>
      <c r="AE24" s="210">
        <f t="shared" si="17"/>
        <v>97.035254856107954</v>
      </c>
      <c r="AF24" s="210">
        <f t="shared" si="17"/>
        <v>84.970010732006998</v>
      </c>
      <c r="AG24" s="210">
        <f t="shared" si="17"/>
        <v>83.074183173881337</v>
      </c>
      <c r="AH24" s="210">
        <f t="shared" ref="AH24" si="18">AH21/AH$2</f>
        <v>53.110651717296122</v>
      </c>
      <c r="AI24" s="203">
        <f>SUM(C24:AH24)</f>
        <v>589.5345426162919</v>
      </c>
    </row>
    <row r="25" spans="1:35">
      <c r="A25" s="288"/>
      <c r="B25" s="189" t="s">
        <v>18</v>
      </c>
      <c r="C25" s="210">
        <f t="shared" ref="C25:AG25" si="19">C22/C$2</f>
        <v>4.9690557303395631E-2</v>
      </c>
      <c r="D25" s="210">
        <f t="shared" si="19"/>
        <v>0.18972038253840606</v>
      </c>
      <c r="E25" s="210">
        <f t="shared" si="19"/>
        <v>0.33907076883658982</v>
      </c>
      <c r="F25" s="210">
        <f t="shared" si="19"/>
        <v>1.0756637004586396</v>
      </c>
      <c r="G25" s="210">
        <f t="shared" si="19"/>
        <v>1.5655927846948567</v>
      </c>
      <c r="H25" s="210">
        <f t="shared" si="19"/>
        <v>1.6430296021252984</v>
      </c>
      <c r="I25" s="210">
        <f t="shared" si="19"/>
        <v>1.326932845397043</v>
      </c>
      <c r="J25" s="210">
        <f t="shared" si="19"/>
        <v>0.58062700574957726</v>
      </c>
      <c r="K25" s="210">
        <f t="shared" si="19"/>
        <v>0.36658669792070525</v>
      </c>
      <c r="L25" s="210">
        <f t="shared" si="19"/>
        <v>0.45689079937194865</v>
      </c>
      <c r="M25" s="210">
        <f t="shared" si="19"/>
        <v>0.28693243907088417</v>
      </c>
      <c r="N25" s="210">
        <f t="shared" si="19"/>
        <v>6.1180794567074166</v>
      </c>
      <c r="O25" s="210">
        <f t="shared" si="19"/>
        <v>3.7657747713159906</v>
      </c>
      <c r="P25" s="210">
        <f t="shared" si="19"/>
        <v>4.7780380045973443</v>
      </c>
      <c r="Q25" s="210">
        <f t="shared" si="19"/>
        <v>7.0727497545586751</v>
      </c>
      <c r="R25" s="210">
        <f t="shared" si="19"/>
        <v>15.371080683542944</v>
      </c>
      <c r="S25" s="210">
        <f t="shared" si="19"/>
        <v>21.705226990044252</v>
      </c>
      <c r="T25" s="210">
        <f t="shared" si="19"/>
        <v>17.451854148564792</v>
      </c>
      <c r="U25" s="210">
        <f t="shared" si="19"/>
        <v>14.725109709423215</v>
      </c>
      <c r="V25" s="210">
        <f t="shared" si="19"/>
        <v>13.472660511753407</v>
      </c>
      <c r="W25" s="210">
        <f t="shared" si="19"/>
        <v>18.214279326854601</v>
      </c>
      <c r="X25" s="210">
        <f t="shared" si="19"/>
        <v>26.292954580043176</v>
      </c>
      <c r="Y25" s="210">
        <f t="shared" si="19"/>
        <v>29.799448821268896</v>
      </c>
      <c r="Z25" s="210">
        <f t="shared" si="19"/>
        <v>47.150274339220864</v>
      </c>
      <c r="AA25" s="210">
        <f t="shared" si="19"/>
        <v>116.96496948874393</v>
      </c>
      <c r="AB25" s="210">
        <f t="shared" si="19"/>
        <v>124.06197674011577</v>
      </c>
      <c r="AC25" s="210">
        <f t="shared" si="19"/>
        <v>86.511370490916079</v>
      </c>
      <c r="AD25" s="210">
        <f t="shared" si="19"/>
        <v>94.481492946986592</v>
      </c>
      <c r="AE25" s="210">
        <f t="shared" si="19"/>
        <v>30.191054148654374</v>
      </c>
      <c r="AF25" s="210">
        <f t="shared" si="19"/>
        <v>43.697757355127742</v>
      </c>
      <c r="AG25" s="210">
        <f t="shared" si="19"/>
        <v>40.478533171791554</v>
      </c>
      <c r="AH25" s="210">
        <f t="shared" ref="AH25" si="20">AH22/AH$2</f>
        <v>22.996070697816638</v>
      </c>
      <c r="AI25" s="203">
        <f>SUM(C25:AH25)</f>
        <v>793.18149372151561</v>
      </c>
    </row>
    <row r="26" spans="1:35">
      <c r="A26" s="288"/>
      <c r="B26" s="184" t="s">
        <v>16</v>
      </c>
      <c r="C26" s="212">
        <f>SUM(C24:C25)</f>
        <v>4.9690557303395631E-2</v>
      </c>
      <c r="D26" s="212">
        <f t="shared" ref="D26:AI26" si="21">SUM(D24:D25)</f>
        <v>0.18972038253840606</v>
      </c>
      <c r="E26" s="212">
        <f t="shared" si="21"/>
        <v>0.33907076883658982</v>
      </c>
      <c r="F26" s="212">
        <f t="shared" si="21"/>
        <v>1.0756637004586396</v>
      </c>
      <c r="G26" s="212">
        <f t="shared" si="21"/>
        <v>1.6107826835006271</v>
      </c>
      <c r="H26" s="212">
        <f t="shared" si="21"/>
        <v>1.7412659158926176</v>
      </c>
      <c r="I26" s="212">
        <f t="shared" si="21"/>
        <v>1.3830497920439904</v>
      </c>
      <c r="J26" s="212">
        <f t="shared" si="21"/>
        <v>0.68726279956036729</v>
      </c>
      <c r="K26" s="212">
        <f t="shared" si="21"/>
        <v>0.44341349280435516</v>
      </c>
      <c r="L26" s="212">
        <f t="shared" si="21"/>
        <v>0.57185425942120371</v>
      </c>
      <c r="M26" s="212">
        <f t="shared" si="21"/>
        <v>0.47858762373918479</v>
      </c>
      <c r="N26" s="212">
        <f t="shared" si="21"/>
        <v>6.5071136847096041</v>
      </c>
      <c r="O26" s="212">
        <f t="shared" si="21"/>
        <v>4.575958897506772</v>
      </c>
      <c r="P26" s="212">
        <f t="shared" si="21"/>
        <v>5.7880920373939553</v>
      </c>
      <c r="Q26" s="212">
        <f t="shared" si="21"/>
        <v>8.870253875311187</v>
      </c>
      <c r="R26" s="212">
        <f t="shared" si="21"/>
        <v>17.315451553800187</v>
      </c>
      <c r="S26" s="212">
        <f t="shared" si="21"/>
        <v>24.209126966925634</v>
      </c>
      <c r="T26" s="212">
        <f t="shared" si="21"/>
        <v>21.04586309845174</v>
      </c>
      <c r="U26" s="212">
        <f t="shared" si="21"/>
        <v>18.636323247256243</v>
      </c>
      <c r="V26" s="212">
        <f t="shared" si="21"/>
        <v>18.377442678500824</v>
      </c>
      <c r="W26" s="212">
        <f t="shared" si="21"/>
        <v>25.738972053241927</v>
      </c>
      <c r="X26" s="212">
        <f t="shared" si="21"/>
        <v>36.183520705909338</v>
      </c>
      <c r="Y26" s="212">
        <f t="shared" si="21"/>
        <v>43.591603806292383</v>
      </c>
      <c r="Z26" s="212">
        <f t="shared" si="21"/>
        <v>67.647935169142329</v>
      </c>
      <c r="AA26" s="212">
        <f t="shared" si="21"/>
        <v>180.63346299777299</v>
      </c>
      <c r="AB26" s="212">
        <f t="shared" si="21"/>
        <v>183.9161671749095</v>
      </c>
      <c r="AC26" s="212">
        <f t="shared" si="21"/>
        <v>135.57136039753885</v>
      </c>
      <c r="AD26" s="212">
        <f t="shared" si="21"/>
        <v>119.98351016436193</v>
      </c>
      <c r="AE26" s="212">
        <f t="shared" si="21"/>
        <v>127.22630900476233</v>
      </c>
      <c r="AF26" s="212">
        <f t="shared" si="21"/>
        <v>128.66776808713473</v>
      </c>
      <c r="AG26" s="212">
        <f t="shared" si="21"/>
        <v>123.55271634567289</v>
      </c>
      <c r="AH26" s="212">
        <f t="shared" ref="AH26" si="22">SUM(AH24:AH25)</f>
        <v>76.106722415112756</v>
      </c>
      <c r="AI26" s="212">
        <f t="shared" si="21"/>
        <v>1382.7160363378075</v>
      </c>
    </row>
    <row r="27" spans="1:35">
      <c r="A27" s="291" t="s">
        <v>307</v>
      </c>
      <c r="B27" s="291"/>
      <c r="C27" s="210">
        <v>9.5</v>
      </c>
      <c r="D27" s="210">
        <f>D11-C11</f>
        <v>19.32</v>
      </c>
      <c r="E27" s="210">
        <f t="shared" ref="E27:AH27" si="23">E11-D11</f>
        <v>18.68</v>
      </c>
      <c r="F27" s="210">
        <f t="shared" si="23"/>
        <v>17.620000000000005</v>
      </c>
      <c r="G27" s="210">
        <f t="shared" si="23"/>
        <v>25.75</v>
      </c>
      <c r="H27" s="210">
        <f t="shared" si="23"/>
        <v>33.409999999999997</v>
      </c>
      <c r="I27" s="210">
        <f t="shared" si="23"/>
        <v>26.72</v>
      </c>
      <c r="J27" s="210">
        <f t="shared" si="23"/>
        <v>38.054000000000002</v>
      </c>
      <c r="K27" s="210">
        <f t="shared" si="23"/>
        <v>34.210999999999984</v>
      </c>
      <c r="L27" s="210">
        <f t="shared" si="23"/>
        <v>28.794999999999987</v>
      </c>
      <c r="M27" s="210">
        <f t="shared" si="23"/>
        <v>26.764172000000002</v>
      </c>
      <c r="N27" s="210">
        <f t="shared" si="23"/>
        <v>27.531979999999976</v>
      </c>
      <c r="O27" s="210">
        <f t="shared" si="23"/>
        <v>63.613</v>
      </c>
      <c r="P27" s="210">
        <f t="shared" si="23"/>
        <v>92.892129000000011</v>
      </c>
      <c r="Q27" s="210">
        <f t="shared" si="23"/>
        <v>147.68480599999998</v>
      </c>
      <c r="R27" s="210">
        <f t="shared" si="23"/>
        <v>212.17764599999998</v>
      </c>
      <c r="S27" s="210">
        <f t="shared" si="23"/>
        <v>230.03763600000013</v>
      </c>
      <c r="T27" s="210">
        <f t="shared" si="23"/>
        <v>275.72997299999997</v>
      </c>
      <c r="U27" s="210">
        <f t="shared" si="23"/>
        <v>308.00303000000008</v>
      </c>
      <c r="V27" s="210">
        <f t="shared" si="23"/>
        <v>673.76636099999996</v>
      </c>
      <c r="W27" s="210">
        <f t="shared" si="23"/>
        <v>465.20854599999984</v>
      </c>
      <c r="X27" s="210">
        <f t="shared" si="23"/>
        <v>1050.2807210000001</v>
      </c>
      <c r="Y27" s="210">
        <f t="shared" si="23"/>
        <v>587.22177600000032</v>
      </c>
      <c r="Z27" s="210">
        <f t="shared" si="23"/>
        <v>1286.0158959999999</v>
      </c>
      <c r="AA27" s="210">
        <f t="shared" si="23"/>
        <v>2062.4623279999996</v>
      </c>
      <c r="AB27" s="210">
        <f t="shared" si="23"/>
        <v>1432.8000000000002</v>
      </c>
      <c r="AC27" s="210">
        <f t="shared" si="23"/>
        <v>1760.8099999999995</v>
      </c>
      <c r="AD27" s="210">
        <f t="shared" si="23"/>
        <v>1216.7800000000007</v>
      </c>
      <c r="AE27" s="210">
        <f t="shared" si="23"/>
        <v>4193.16</v>
      </c>
      <c r="AF27" s="210">
        <f t="shared" si="23"/>
        <v>1102.0139999999992</v>
      </c>
      <c r="AG27" s="210">
        <f t="shared" si="23"/>
        <v>1342.6579620000011</v>
      </c>
      <c r="AH27" s="210">
        <f t="shared" si="23"/>
        <v>405.07010699999955</v>
      </c>
      <c r="AI27" s="203">
        <f>SUM(C27:AH27)</f>
        <v>19214.742069</v>
      </c>
    </row>
    <row r="28" spans="1:35">
      <c r="A28" s="291" t="s">
        <v>310</v>
      </c>
      <c r="B28" s="291"/>
      <c r="C28" s="205">
        <f>C27/C$2</f>
        <v>0.66487365405951904</v>
      </c>
      <c r="D28" s="205">
        <f t="shared" ref="D28:AG28" si="24">D27/D$2</f>
        <v>1.3044120251395037</v>
      </c>
      <c r="E28" s="205">
        <f t="shared" si="24"/>
        <v>1.2542261310628706</v>
      </c>
      <c r="F28" s="205">
        <f t="shared" si="24"/>
        <v>1.1713964401780739</v>
      </c>
      <c r="G28" s="205">
        <f t="shared" si="24"/>
        <v>1.5954784821379835</v>
      </c>
      <c r="H28" s="205">
        <f t="shared" si="24"/>
        <v>1.6836655066122295</v>
      </c>
      <c r="I28" s="205">
        <f t="shared" si="24"/>
        <v>1.227743868552007</v>
      </c>
      <c r="J28" s="205">
        <f t="shared" si="24"/>
        <v>1.8614305035210112</v>
      </c>
      <c r="K28" s="205">
        <f t="shared" si="24"/>
        <v>1.302374252893586</v>
      </c>
      <c r="L28" s="205">
        <f t="shared" si="24"/>
        <v>1.1078891673756011</v>
      </c>
      <c r="M28" s="205">
        <f t="shared" si="24"/>
        <v>0.92058369116190997</v>
      </c>
      <c r="N28" s="205">
        <f t="shared" si="24"/>
        <v>0.95827101220076938</v>
      </c>
      <c r="O28" s="205">
        <f t="shared" si="24"/>
        <v>2.1367129492940045</v>
      </c>
      <c r="P28" s="205">
        <f t="shared" si="24"/>
        <v>2.4867944177041572</v>
      </c>
      <c r="Q28" s="205">
        <f t="shared" si="24"/>
        <v>3.2487523573476098</v>
      </c>
      <c r="R28" s="205">
        <f t="shared" si="24"/>
        <v>4.7751612073644525</v>
      </c>
      <c r="S28" s="205">
        <f t="shared" si="24"/>
        <v>4.2395986118212834</v>
      </c>
      <c r="T28" s="205">
        <f t="shared" si="24"/>
        <v>4.9505935811300796</v>
      </c>
      <c r="U28" s="205">
        <f t="shared" si="24"/>
        <v>4.9375637578690661</v>
      </c>
      <c r="V28" s="205">
        <f t="shared" si="24"/>
        <v>11.324855980324223</v>
      </c>
      <c r="W28" s="205">
        <f t="shared" si="24"/>
        <v>8.0465813433372002</v>
      </c>
      <c r="X28" s="205">
        <f t="shared" si="24"/>
        <v>17.996196192604607</v>
      </c>
      <c r="Y28" s="205">
        <f t="shared" si="24"/>
        <v>9.8518903410511776</v>
      </c>
      <c r="Z28" s="205">
        <f t="shared" si="24"/>
        <v>21.3397407519046</v>
      </c>
      <c r="AA28" s="205">
        <f t="shared" si="24"/>
        <v>33.992062836081537</v>
      </c>
      <c r="AB28" s="205">
        <f t="shared" si="24"/>
        <v>20.288932064703005</v>
      </c>
      <c r="AC28" s="205">
        <f t="shared" si="24"/>
        <v>21.579066953307461</v>
      </c>
      <c r="AD28" s="205">
        <f t="shared" si="24"/>
        <v>14.275094772032512</v>
      </c>
      <c r="AE28" s="205">
        <f t="shared" si="24"/>
        <v>48.554971527295493</v>
      </c>
      <c r="AF28" s="205">
        <f t="shared" si="24"/>
        <v>11.800624577064877</v>
      </c>
      <c r="AG28" s="205">
        <f t="shared" si="24"/>
        <v>13.213618245327533</v>
      </c>
      <c r="AH28" s="205">
        <f t="shared" ref="AH28" si="25">AH27/AH$2</f>
        <v>3.9864521776782684</v>
      </c>
      <c r="AI28" s="203">
        <f>SUM(C28:AH28)</f>
        <v>278.0776093801382</v>
      </c>
    </row>
  </sheetData>
  <mergeCells count="11">
    <mergeCell ref="A16:A18"/>
    <mergeCell ref="A21:A23"/>
    <mergeCell ref="A24:A26"/>
    <mergeCell ref="A27:B27"/>
    <mergeCell ref="A28:B28"/>
    <mergeCell ref="A13:A15"/>
    <mergeCell ref="A3:B3"/>
    <mergeCell ref="A4:A6"/>
    <mergeCell ref="A8:A10"/>
    <mergeCell ref="A11:B11"/>
    <mergeCell ref="A12:B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3"/>
  <sheetViews>
    <sheetView topLeftCell="A24" workbookViewId="0">
      <selection activeCell="B33" sqref="B33"/>
    </sheetView>
  </sheetViews>
  <sheetFormatPr defaultRowHeight="15"/>
  <cols>
    <col min="1" max="16384" width="9.140625" style="172"/>
  </cols>
  <sheetData>
    <row r="1" spans="2:6" ht="45">
      <c r="B1" s="215" t="s">
        <v>262</v>
      </c>
      <c r="C1" s="215" t="s">
        <v>263</v>
      </c>
      <c r="D1" s="215" t="s">
        <v>264</v>
      </c>
      <c r="E1" s="215" t="s">
        <v>265</v>
      </c>
      <c r="F1" s="215" t="s">
        <v>311</v>
      </c>
    </row>
    <row r="2" spans="2:6">
      <c r="B2" s="216">
        <v>2013</v>
      </c>
      <c r="C2" s="216">
        <v>101.611681</v>
      </c>
      <c r="D2" s="216">
        <v>97.246966999999998</v>
      </c>
      <c r="E2" s="216">
        <v>108.599626</v>
      </c>
      <c r="F2" s="216">
        <v>255</v>
      </c>
    </row>
    <row r="3" spans="2:6">
      <c r="B3" s="216">
        <v>2012</v>
      </c>
      <c r="C3" s="216">
        <v>93.386073999999994</v>
      </c>
      <c r="D3" s="216">
        <v>89.944794999999999</v>
      </c>
      <c r="E3" s="216">
        <v>98.104622000000006</v>
      </c>
      <c r="F3" s="216">
        <v>256</v>
      </c>
    </row>
    <row r="4" spans="2:6">
      <c r="B4" s="216">
        <v>2011</v>
      </c>
      <c r="C4" s="216">
        <v>86.359025000000003</v>
      </c>
      <c r="D4" s="216">
        <v>84.211183000000005</v>
      </c>
      <c r="E4" s="216">
        <v>90.074523999999997</v>
      </c>
      <c r="F4" s="216">
        <v>257</v>
      </c>
    </row>
    <row r="5" spans="2:6">
      <c r="B5" s="216">
        <v>2010</v>
      </c>
      <c r="C5" s="216">
        <v>85.237962999999993</v>
      </c>
      <c r="D5" s="216">
        <v>83.613068999999996</v>
      </c>
      <c r="E5" s="216">
        <v>87.779572000000002</v>
      </c>
      <c r="F5" s="216">
        <v>258</v>
      </c>
    </row>
    <row r="6" spans="2:6">
      <c r="B6" s="216">
        <v>2009</v>
      </c>
      <c r="C6" s="216">
        <v>81.598060000000004</v>
      </c>
      <c r="D6" s="216">
        <v>76.1631</v>
      </c>
      <c r="E6" s="216">
        <v>84.610006999999996</v>
      </c>
      <c r="F6" s="216">
        <v>256</v>
      </c>
    </row>
    <row r="7" spans="2:6">
      <c r="B7" s="216">
        <v>2008</v>
      </c>
      <c r="C7" s="216">
        <v>70.619783999999996</v>
      </c>
      <c r="D7" s="216">
        <v>61.810915000000001</v>
      </c>
      <c r="E7" s="216">
        <v>82.574243999999993</v>
      </c>
      <c r="F7" s="216">
        <v>256</v>
      </c>
    </row>
    <row r="8" spans="2:6">
      <c r="B8" s="216">
        <v>2007</v>
      </c>
      <c r="C8" s="216">
        <v>60.674821000000001</v>
      </c>
      <c r="D8" s="216">
        <v>59.944178000000001</v>
      </c>
      <c r="E8" s="216">
        <v>61.566172999999999</v>
      </c>
      <c r="F8" s="216">
        <v>255</v>
      </c>
    </row>
    <row r="9" spans="2:6">
      <c r="B9" s="216">
        <v>2006</v>
      </c>
      <c r="C9" s="216">
        <v>60.263894999999998</v>
      </c>
      <c r="D9" s="216">
        <v>59.738346</v>
      </c>
      <c r="E9" s="216">
        <v>60.957571000000002</v>
      </c>
      <c r="F9" s="216">
        <v>255</v>
      </c>
    </row>
    <row r="10" spans="2:6">
      <c r="B10" s="216">
        <v>2005</v>
      </c>
      <c r="C10" s="216">
        <v>59.604984999999999</v>
      </c>
      <c r="D10" s="216">
        <v>58.578228000000003</v>
      </c>
      <c r="E10" s="216">
        <v>60.216240999999997</v>
      </c>
      <c r="F10" s="216">
        <v>257</v>
      </c>
    </row>
    <row r="11" spans="2:6">
      <c r="B11" s="216">
        <v>2004</v>
      </c>
      <c r="C11" s="216">
        <v>58.361262000000004</v>
      </c>
      <c r="D11" s="216">
        <v>55.222501999999999</v>
      </c>
      <c r="E11" s="216">
        <v>61.159398000000003</v>
      </c>
      <c r="F11" s="216">
        <v>259</v>
      </c>
    </row>
    <row r="12" spans="2:6">
      <c r="B12" s="216">
        <v>2003</v>
      </c>
      <c r="C12" s="216">
        <v>57.814433999999999</v>
      </c>
      <c r="D12" s="216">
        <v>54.944012999999998</v>
      </c>
      <c r="E12" s="216">
        <v>61.325057999999999</v>
      </c>
      <c r="F12" s="216">
        <v>255</v>
      </c>
    </row>
    <row r="13" spans="2:6">
      <c r="B13" s="216">
        <v>2002</v>
      </c>
      <c r="C13" s="216">
        <v>59.494475000000001</v>
      </c>
      <c r="D13" s="216">
        <v>57.631506000000002</v>
      </c>
      <c r="E13" s="216">
        <v>62.846119999999999</v>
      </c>
      <c r="F13" s="216">
        <v>255</v>
      </c>
    </row>
    <row r="14" spans="2:6">
      <c r="B14" s="216">
        <v>2001</v>
      </c>
      <c r="C14" s="216">
        <v>62.379555000000003</v>
      </c>
      <c r="D14" s="216">
        <v>58.507081999999997</v>
      </c>
      <c r="E14" s="216">
        <v>67.242580000000004</v>
      </c>
      <c r="F14" s="216">
        <v>255</v>
      </c>
    </row>
    <row r="15" spans="2:6">
      <c r="B15" s="216">
        <v>2000</v>
      </c>
      <c r="C15" s="216">
        <v>55.696345999999998</v>
      </c>
      <c r="D15" s="216">
        <v>51.611866999999997</v>
      </c>
      <c r="E15" s="216">
        <v>61.066758</v>
      </c>
      <c r="F15" s="216">
        <v>255</v>
      </c>
    </row>
    <row r="16" spans="2:6">
      <c r="B16" s="216">
        <v>1999</v>
      </c>
      <c r="C16" s="216">
        <v>54.259295999999999</v>
      </c>
      <c r="D16" s="216">
        <v>48.986370999999998</v>
      </c>
      <c r="E16" s="216">
        <v>57.668429000000003</v>
      </c>
      <c r="F16" s="216">
        <v>261</v>
      </c>
    </row>
    <row r="17" spans="2:6">
      <c r="B17" s="216">
        <v>1998</v>
      </c>
      <c r="C17" s="216">
        <v>44.433608999999997</v>
      </c>
      <c r="D17" s="216">
        <v>41.037025999999997</v>
      </c>
      <c r="E17" s="216">
        <v>46.483421999999997</v>
      </c>
      <c r="F17" s="216">
        <v>261</v>
      </c>
    </row>
    <row r="18" spans="2:6">
      <c r="B18" s="216">
        <v>1997</v>
      </c>
      <c r="C18" s="216">
        <v>45.458930000000002</v>
      </c>
      <c r="D18" s="216">
        <v>40.938361</v>
      </c>
      <c r="E18" s="216">
        <v>49.096769000000002</v>
      </c>
      <c r="F18" s="216">
        <v>261</v>
      </c>
    </row>
    <row r="19" spans="2:6">
      <c r="B19" s="216">
        <v>1996</v>
      </c>
      <c r="C19" s="216">
        <v>37.354165000000002</v>
      </c>
      <c r="D19" s="216">
        <v>35.986679000000002</v>
      </c>
      <c r="E19" s="216">
        <v>38.315688999999999</v>
      </c>
      <c r="F19" s="216">
        <v>262</v>
      </c>
    </row>
    <row r="20" spans="2:6">
      <c r="B20" s="216">
        <v>1995</v>
      </c>
      <c r="C20" s="216">
        <v>29.771429999999999</v>
      </c>
      <c r="D20" s="216">
        <v>28.67651</v>
      </c>
      <c r="E20" s="216">
        <v>31.851133000000001</v>
      </c>
      <c r="F20" s="216">
        <v>260</v>
      </c>
    </row>
    <row r="21" spans="2:6">
      <c r="B21" s="216">
        <v>1994</v>
      </c>
      <c r="C21" s="216">
        <v>28.730891</v>
      </c>
      <c r="D21" s="216">
        <v>26.551717</v>
      </c>
      <c r="E21" s="216">
        <v>30.902296</v>
      </c>
      <c r="F21" s="216">
        <v>260</v>
      </c>
    </row>
    <row r="22" spans="2:6">
      <c r="B22" s="216">
        <v>1993</v>
      </c>
      <c r="C22" s="216">
        <v>29.073046000000001</v>
      </c>
      <c r="D22" s="216">
        <v>27.350740999999999</v>
      </c>
      <c r="E22" s="216">
        <v>30.578679999999999</v>
      </c>
      <c r="F22" s="216">
        <v>261</v>
      </c>
    </row>
    <row r="23" spans="2:6">
      <c r="B23" s="216">
        <v>1992</v>
      </c>
      <c r="C23" s="216">
        <v>25.990867000000001</v>
      </c>
      <c r="D23" s="216">
        <v>23.064816</v>
      </c>
      <c r="E23" s="216">
        <v>27.862773000000001</v>
      </c>
      <c r="F23" s="216">
        <v>262</v>
      </c>
    </row>
    <row r="24" spans="2:6">
      <c r="B24" s="216">
        <v>1991</v>
      </c>
      <c r="C24" s="216">
        <v>26.268179</v>
      </c>
      <c r="D24" s="216">
        <v>23.042377999999999</v>
      </c>
      <c r="E24" s="216">
        <v>28.965627000000001</v>
      </c>
      <c r="F24" s="216">
        <v>261</v>
      </c>
    </row>
    <row r="25" spans="2:6">
      <c r="B25" s="216">
        <v>1990</v>
      </c>
      <c r="C25" s="216">
        <v>20.443417</v>
      </c>
      <c r="D25" s="216">
        <v>18.601814999999998</v>
      </c>
      <c r="E25" s="216">
        <v>21.908442000000001</v>
      </c>
      <c r="F25" s="216">
        <v>261</v>
      </c>
    </row>
    <row r="26" spans="2:6">
      <c r="B26" s="216">
        <v>1989</v>
      </c>
      <c r="C26" s="216">
        <v>21.763497000000001</v>
      </c>
      <c r="D26" s="216">
        <v>19.873556000000001</v>
      </c>
      <c r="E26" s="216">
        <v>23.588132000000002</v>
      </c>
      <c r="F26" s="216">
        <v>260</v>
      </c>
    </row>
    <row r="27" spans="2:6">
      <c r="B27" s="216">
        <v>1988</v>
      </c>
      <c r="C27" s="216">
        <v>19.843609000000001</v>
      </c>
      <c r="D27" s="216">
        <v>17.989044</v>
      </c>
      <c r="E27" s="216">
        <v>21.567381000000001</v>
      </c>
      <c r="F27" s="216">
        <v>261</v>
      </c>
    </row>
    <row r="28" spans="2:6">
      <c r="B28" s="216">
        <v>1987</v>
      </c>
      <c r="C28" s="216">
        <v>16.139358999999999</v>
      </c>
      <c r="D28" s="216">
        <v>14.27558</v>
      </c>
      <c r="E28" s="216">
        <v>17.398800000000001</v>
      </c>
      <c r="F28" s="216">
        <v>261</v>
      </c>
    </row>
    <row r="29" spans="2:6">
      <c r="B29" s="216">
        <v>1986</v>
      </c>
      <c r="C29" s="216">
        <v>15.041876</v>
      </c>
      <c r="D29" s="216">
        <v>13.796678999999999</v>
      </c>
      <c r="E29" s="216">
        <v>16.734551</v>
      </c>
      <c r="F29" s="216">
        <v>261</v>
      </c>
    </row>
    <row r="30" spans="2:6">
      <c r="B30" s="216">
        <v>1985</v>
      </c>
      <c r="C30" s="216">
        <v>14.893646</v>
      </c>
      <c r="D30" s="216">
        <v>12.690146</v>
      </c>
      <c r="E30" s="216">
        <v>17.614874</v>
      </c>
      <c r="F30" s="216">
        <v>261</v>
      </c>
    </row>
    <row r="31" spans="2:6">
      <c r="B31" s="216">
        <v>1984</v>
      </c>
      <c r="C31" s="216">
        <v>14.811271</v>
      </c>
      <c r="D31" s="216">
        <v>13.243691999999999</v>
      </c>
      <c r="E31" s="216">
        <v>16.468526000000001</v>
      </c>
      <c r="F31" s="216">
        <v>261</v>
      </c>
    </row>
    <row r="32" spans="2:6">
      <c r="B32" s="216">
        <v>1983</v>
      </c>
      <c r="C32" s="216">
        <v>14.288429000000001</v>
      </c>
      <c r="D32" s="216">
        <v>12.902532000000001</v>
      </c>
      <c r="E32" s="216">
        <v>15.589173000000001</v>
      </c>
      <c r="F32" s="216">
        <v>260</v>
      </c>
    </row>
    <row r="33" spans="1:2">
      <c r="A33" s="172" t="s">
        <v>266</v>
      </c>
      <c r="B33" s="172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Graphs for presentation</vt:lpstr>
      <vt:lpstr>1.RSP Districts </vt:lpstr>
      <vt:lpstr>2. Overall cum progress March14</vt:lpstr>
      <vt:lpstr>1.RSP Districts  (2)</vt:lpstr>
      <vt:lpstr>Cummulative Progress since 82</vt:lpstr>
      <vt:lpstr>graphs</vt:lpstr>
      <vt:lpstr>Value in dollars </vt:lpstr>
      <vt:lpstr>Exchange rates</vt:lpstr>
      <vt:lpstr>'1.RSP Districts '!Print_Area</vt:lpstr>
      <vt:lpstr>'1.RSP Districts  (2)'!Print_Area</vt:lpstr>
      <vt:lpstr>'2. Overall cum progress March14'!Print_Area</vt:lpstr>
      <vt:lpstr>'1.RSP Districts '!Print_Titles</vt:lpstr>
      <vt:lpstr>'1.RSP Districts  (2)'!Print_Titles</vt:lpstr>
      <vt:lpstr>'2. Overall cum progress March14'!Print_Titles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2014-06-30T06:06:07Z</cp:lastPrinted>
  <dcterms:created xsi:type="dcterms:W3CDTF">2011-06-02T11:20:26Z</dcterms:created>
  <dcterms:modified xsi:type="dcterms:W3CDTF">2014-07-14T11:26:15Z</dcterms:modified>
</cp:coreProperties>
</file>