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600" windowHeight="7692" firstSheet="1" activeTab="2"/>
  </bookViews>
  <sheets>
    <sheet name="Graphs for presentation" sheetId="10" state="hidden" r:id="rId1"/>
    <sheet name="1.RSP Districts " sheetId="2" r:id="rId2"/>
    <sheet name="2. Overall cum progress June 14" sheetId="17" r:id="rId3"/>
    <sheet name="2. Overall cum progress Mar Ref" sheetId="22" state="hidden" r:id="rId4"/>
    <sheet name="Cummulative Progress since 82" sheetId="13" state="hidden" r:id="rId5"/>
    <sheet name="graphs" sheetId="14" state="hidden" r:id="rId6"/>
    <sheet name="Value in dollars " sheetId="15" state="hidden" r:id="rId7"/>
    <sheet name="Exchange rates" sheetId="16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1" hidden="1">'1.RSP Districts '!$R$5:$R$235</definedName>
    <definedName name="_xlnm._FilterDatabase" localSheetId="2" hidden="1">'2. Overall cum progress June 14'!#REF!</definedName>
    <definedName name="_xlnm._FilterDatabase" localSheetId="3" hidden="1">'2. Overall cum progress Mar Ref'!#REF!</definedName>
    <definedName name="_xlnm.Print_Area" localSheetId="1">'1.RSP Districts '!$A$1:$S$231</definedName>
    <definedName name="_xlnm.Print_Area" localSheetId="2">'2. Overall cum progress June 14'!$A$1:$M$55</definedName>
    <definedName name="_xlnm.Print_Area" localSheetId="3">'2. Overall cum progress Mar Ref'!$A$1:$M$55</definedName>
    <definedName name="_xlnm.Print_Titles" localSheetId="1">'1.RSP Districts '!$1:$3</definedName>
    <definedName name="_xlnm.Print_Titles" localSheetId="2">'2. Overall cum progress June 14'!$1:$3</definedName>
    <definedName name="_xlnm.Print_Titles" localSheetId="3">'2. Overall cum progress Mar Ref'!$1:$3</definedName>
  </definedNames>
  <calcPr calcId="144525"/>
</workbook>
</file>

<file path=xl/calcChain.xml><?xml version="1.0" encoding="utf-8"?>
<calcChain xmlns="http://schemas.openxmlformats.org/spreadsheetml/2006/main">
  <c r="AH2" i="15" l="1"/>
  <c r="F75" i="2"/>
  <c r="K14" i="17"/>
  <c r="P56" i="2" l="1"/>
  <c r="F8" i="17"/>
  <c r="AD51" i="17"/>
  <c r="AB51" i="17"/>
  <c r="AD50" i="17"/>
  <c r="AB50" i="17"/>
  <c r="Z49" i="17"/>
  <c r="AD48" i="17"/>
  <c r="AB48" i="17"/>
  <c r="AD47" i="17"/>
  <c r="AB47" i="17"/>
  <c r="AD45" i="17"/>
  <c r="AB45" i="17"/>
  <c r="AD44" i="17"/>
  <c r="AB44" i="17"/>
  <c r="AD43" i="17"/>
  <c r="AB43" i="17"/>
  <c r="AD42" i="17"/>
  <c r="AB42" i="17"/>
  <c r="AD41" i="17"/>
  <c r="AB41" i="17"/>
  <c r="AD40" i="17"/>
  <c r="AB40" i="17"/>
  <c r="AD39" i="17"/>
  <c r="AB39" i="17"/>
  <c r="AD38" i="17"/>
  <c r="AB38" i="17"/>
  <c r="AD37" i="17"/>
  <c r="AB37" i="17"/>
  <c r="AD35" i="17"/>
  <c r="AB35" i="17"/>
  <c r="AD34" i="17"/>
  <c r="AB34" i="17"/>
  <c r="AD32" i="17"/>
  <c r="AB32" i="17"/>
  <c r="AD31" i="17"/>
  <c r="AB31" i="17"/>
  <c r="AD29" i="17"/>
  <c r="AB29" i="17"/>
  <c r="AD28" i="17"/>
  <c r="AB28" i="17"/>
  <c r="AD26" i="17"/>
  <c r="AB26" i="17"/>
  <c r="AD25" i="17"/>
  <c r="AB25" i="17"/>
  <c r="AD24" i="17"/>
  <c r="AB24" i="17"/>
  <c r="AD23" i="17"/>
  <c r="AB23" i="17"/>
  <c r="AD22" i="17"/>
  <c r="AB22" i="17"/>
  <c r="AD21" i="17"/>
  <c r="AB21" i="17"/>
  <c r="AD19" i="17"/>
  <c r="AB19" i="17"/>
  <c r="AD18" i="17"/>
  <c r="AB18" i="17"/>
  <c r="AD16" i="17"/>
  <c r="AB16" i="17"/>
  <c r="AD15" i="17"/>
  <c r="AB15" i="17"/>
  <c r="AD13" i="17"/>
  <c r="AB13" i="17"/>
  <c r="AD12" i="17"/>
  <c r="AB12" i="17"/>
  <c r="AD10" i="17"/>
  <c r="AB10" i="17"/>
  <c r="AD9" i="17"/>
  <c r="AB9" i="17"/>
  <c r="AD8" i="17"/>
  <c r="AB8" i="17"/>
  <c r="AA8" i="17"/>
  <c r="AF7" i="17"/>
  <c r="AE7" i="17"/>
  <c r="AD7" i="17"/>
  <c r="AC7" i="17"/>
  <c r="AB7" i="17"/>
  <c r="AA7" i="17"/>
  <c r="Y7" i="17"/>
  <c r="X7" i="17"/>
  <c r="AH3" i="17"/>
  <c r="AG3" i="17"/>
  <c r="AF3" i="17"/>
  <c r="AE3" i="17"/>
  <c r="AD3" i="17"/>
  <c r="AC3" i="17"/>
  <c r="AB3" i="17"/>
  <c r="AA3" i="17"/>
  <c r="Z3" i="17"/>
  <c r="Y3" i="17"/>
  <c r="X3" i="17"/>
  <c r="C158" i="2"/>
  <c r="A158" i="2"/>
  <c r="I33" i="17" l="1"/>
  <c r="AD33" i="17" s="1"/>
  <c r="G33" i="17"/>
  <c r="AB33" i="17" s="1"/>
  <c r="H51" i="17"/>
  <c r="AC51" i="17" s="1"/>
  <c r="H50" i="17"/>
  <c r="AC50" i="17" s="1"/>
  <c r="H48" i="17"/>
  <c r="AC48" i="17" s="1"/>
  <c r="H47" i="17"/>
  <c r="AC47" i="17" s="1"/>
  <c r="H45" i="17"/>
  <c r="AC45" i="17" s="1"/>
  <c r="H44" i="17"/>
  <c r="AC44" i="17" s="1"/>
  <c r="H43" i="17"/>
  <c r="AC43" i="17" s="1"/>
  <c r="H42" i="17"/>
  <c r="AC42" i="17" s="1"/>
  <c r="H41" i="17"/>
  <c r="AC41" i="17" s="1"/>
  <c r="H40" i="17"/>
  <c r="AC40" i="17" s="1"/>
  <c r="H39" i="17"/>
  <c r="AC39" i="17" s="1"/>
  <c r="H38" i="17"/>
  <c r="AC38" i="17" s="1"/>
  <c r="H37" i="17"/>
  <c r="AC37" i="17" s="1"/>
  <c r="H35" i="17"/>
  <c r="AC35" i="17" s="1"/>
  <c r="H34" i="17"/>
  <c r="AC34" i="17" s="1"/>
  <c r="H32" i="17"/>
  <c r="AC32" i="17" s="1"/>
  <c r="H31" i="17"/>
  <c r="AC31" i="17" s="1"/>
  <c r="H29" i="17"/>
  <c r="AC29" i="17" s="1"/>
  <c r="H28" i="17"/>
  <c r="AC28" i="17" s="1"/>
  <c r="H26" i="17"/>
  <c r="AC26" i="17" s="1"/>
  <c r="H25" i="17"/>
  <c r="AC25" i="17" s="1"/>
  <c r="H24" i="17"/>
  <c r="AC24" i="17" s="1"/>
  <c r="H23" i="17"/>
  <c r="AC23" i="17" s="1"/>
  <c r="H22" i="17"/>
  <c r="AC22" i="17" s="1"/>
  <c r="H21" i="17"/>
  <c r="AC21" i="17" s="1"/>
  <c r="H19" i="17"/>
  <c r="AC19" i="17" s="1"/>
  <c r="H18" i="17"/>
  <c r="AC18" i="17" s="1"/>
  <c r="H16" i="17"/>
  <c r="AC16" i="17" s="1"/>
  <c r="H15" i="17"/>
  <c r="AC15" i="17" s="1"/>
  <c r="H13" i="17"/>
  <c r="AC13" i="17" s="1"/>
  <c r="H12" i="17"/>
  <c r="AC12" i="17" s="1"/>
  <c r="H10" i="17"/>
  <c r="AC10" i="17" s="1"/>
  <c r="H9" i="17"/>
  <c r="AC9" i="17" s="1"/>
  <c r="H8" i="17"/>
  <c r="AC8" i="17" s="1"/>
  <c r="P155" i="2"/>
  <c r="P154" i="2"/>
  <c r="P153" i="2"/>
  <c r="P151" i="2"/>
  <c r="P149" i="2"/>
  <c r="P147" i="2"/>
  <c r="P143" i="2"/>
  <c r="P142" i="2"/>
  <c r="P141" i="2"/>
  <c r="P140" i="2"/>
  <c r="P138" i="2"/>
  <c r="P136" i="2"/>
  <c r="P133" i="2"/>
  <c r="P132" i="2"/>
  <c r="P129" i="2"/>
  <c r="P128" i="2"/>
  <c r="P125" i="2"/>
  <c r="P124" i="2"/>
  <c r="P122" i="2"/>
  <c r="P120" i="2"/>
  <c r="P119" i="2"/>
  <c r="P118" i="2"/>
  <c r="P117" i="2"/>
  <c r="P116" i="2"/>
  <c r="P113" i="2"/>
  <c r="L155" i="2"/>
  <c r="L154" i="2"/>
  <c r="L153" i="2"/>
  <c r="L151" i="2"/>
  <c r="L149" i="2"/>
  <c r="L147" i="2"/>
  <c r="L143" i="2"/>
  <c r="L142" i="2"/>
  <c r="L141" i="2"/>
  <c r="L140" i="2"/>
  <c r="L138" i="2"/>
  <c r="L136" i="2"/>
  <c r="L133" i="2"/>
  <c r="L132" i="2"/>
  <c r="L129" i="2"/>
  <c r="L128" i="2"/>
  <c r="L125" i="2"/>
  <c r="L124" i="2"/>
  <c r="L122" i="2"/>
  <c r="L120" i="2"/>
  <c r="L119" i="2"/>
  <c r="L118" i="2"/>
  <c r="L117" i="2"/>
  <c r="L116" i="2"/>
  <c r="L113" i="2"/>
  <c r="I155" i="2"/>
  <c r="I154" i="2"/>
  <c r="I153" i="2"/>
  <c r="I151" i="2"/>
  <c r="I149" i="2"/>
  <c r="I147" i="2"/>
  <c r="I143" i="2"/>
  <c r="I142" i="2"/>
  <c r="I141" i="2"/>
  <c r="I140" i="2"/>
  <c r="I138" i="2"/>
  <c r="I136" i="2"/>
  <c r="I133" i="2"/>
  <c r="I132" i="2"/>
  <c r="I129" i="2"/>
  <c r="I128" i="2"/>
  <c r="I125" i="2"/>
  <c r="I124" i="2"/>
  <c r="I122" i="2"/>
  <c r="I120" i="2"/>
  <c r="I119" i="2"/>
  <c r="I118" i="2"/>
  <c r="I117" i="2"/>
  <c r="I116" i="2"/>
  <c r="I113" i="2"/>
  <c r="E155" i="2"/>
  <c r="E154" i="2"/>
  <c r="E153" i="2"/>
  <c r="E151" i="2"/>
  <c r="E149" i="2"/>
  <c r="E147" i="2"/>
  <c r="E143" i="2"/>
  <c r="E142" i="2"/>
  <c r="E141" i="2"/>
  <c r="E140" i="2"/>
  <c r="E138" i="2"/>
  <c r="E136" i="2"/>
  <c r="E133" i="2"/>
  <c r="E132" i="2"/>
  <c r="E129" i="2"/>
  <c r="E128" i="2"/>
  <c r="E125" i="2"/>
  <c r="E124" i="2"/>
  <c r="E122" i="2"/>
  <c r="E120" i="2"/>
  <c r="E119" i="2"/>
  <c r="E118" i="2"/>
  <c r="E117" i="2"/>
  <c r="E116" i="2"/>
  <c r="E113" i="2"/>
  <c r="H33" i="17" l="1"/>
  <c r="AC33" i="17" s="1"/>
  <c r="D51" i="17"/>
  <c r="Y51" i="17" s="1"/>
  <c r="C51" i="17"/>
  <c r="X51" i="17" s="1"/>
  <c r="D50" i="17"/>
  <c r="Y50" i="17" s="1"/>
  <c r="C50" i="17"/>
  <c r="X50" i="17" s="1"/>
  <c r="D48" i="17"/>
  <c r="Y48" i="17" s="1"/>
  <c r="C48" i="17"/>
  <c r="X48" i="17" s="1"/>
  <c r="D47" i="17"/>
  <c r="Y47" i="17" s="1"/>
  <c r="C47" i="17"/>
  <c r="X47" i="17" s="1"/>
  <c r="D45" i="17"/>
  <c r="Y45" i="17" s="1"/>
  <c r="C45" i="17"/>
  <c r="X45" i="17" s="1"/>
  <c r="D44" i="17"/>
  <c r="Y44" i="17" s="1"/>
  <c r="C44" i="17"/>
  <c r="X44" i="17" s="1"/>
  <c r="D43" i="17"/>
  <c r="Y43" i="17" s="1"/>
  <c r="C43" i="17"/>
  <c r="X43" i="17" s="1"/>
  <c r="D42" i="17"/>
  <c r="Y42" i="17" s="1"/>
  <c r="C42" i="17"/>
  <c r="X42" i="17" s="1"/>
  <c r="D41" i="17"/>
  <c r="Y41" i="17" s="1"/>
  <c r="C41" i="17"/>
  <c r="X41" i="17" s="1"/>
  <c r="D40" i="17"/>
  <c r="Y40" i="17" s="1"/>
  <c r="C40" i="17"/>
  <c r="X40" i="17" s="1"/>
  <c r="D39" i="17"/>
  <c r="Y39" i="17" s="1"/>
  <c r="C39" i="17"/>
  <c r="X39" i="17" s="1"/>
  <c r="D38" i="17"/>
  <c r="Y38" i="17" s="1"/>
  <c r="C38" i="17"/>
  <c r="X38" i="17" s="1"/>
  <c r="D37" i="17"/>
  <c r="Y37" i="17" s="1"/>
  <c r="C37" i="17"/>
  <c r="X37" i="17" s="1"/>
  <c r="D35" i="17"/>
  <c r="Y35" i="17" s="1"/>
  <c r="C35" i="17"/>
  <c r="X35" i="17" s="1"/>
  <c r="D34" i="17"/>
  <c r="Y34" i="17" s="1"/>
  <c r="C34" i="17"/>
  <c r="X34" i="17" s="1"/>
  <c r="D32" i="17"/>
  <c r="Y32" i="17" s="1"/>
  <c r="C32" i="17"/>
  <c r="X32" i="17" s="1"/>
  <c r="D31" i="17"/>
  <c r="C31" i="17"/>
  <c r="X31" i="17" s="1"/>
  <c r="D29" i="17"/>
  <c r="Y29" i="17" s="1"/>
  <c r="C29" i="17"/>
  <c r="X29" i="17" s="1"/>
  <c r="D28" i="17"/>
  <c r="Y28" i="17" s="1"/>
  <c r="C28" i="17"/>
  <c r="X28" i="17" s="1"/>
  <c r="D26" i="17"/>
  <c r="Y26" i="17" s="1"/>
  <c r="C26" i="17"/>
  <c r="X26" i="17" s="1"/>
  <c r="D25" i="17"/>
  <c r="Y25" i="17" s="1"/>
  <c r="C25" i="17"/>
  <c r="X25" i="17" s="1"/>
  <c r="D24" i="17"/>
  <c r="Y24" i="17" s="1"/>
  <c r="C24" i="17"/>
  <c r="X24" i="17" s="1"/>
  <c r="D23" i="17"/>
  <c r="Y23" i="17" s="1"/>
  <c r="C23" i="17"/>
  <c r="X23" i="17" s="1"/>
  <c r="D22" i="17"/>
  <c r="Y22" i="17" s="1"/>
  <c r="C22" i="17"/>
  <c r="X22" i="17" s="1"/>
  <c r="D21" i="17"/>
  <c r="Y21" i="17" s="1"/>
  <c r="C21" i="17"/>
  <c r="X21" i="17" s="1"/>
  <c r="D19" i="17"/>
  <c r="Y19" i="17" s="1"/>
  <c r="C19" i="17"/>
  <c r="X19" i="17" s="1"/>
  <c r="D18" i="17"/>
  <c r="Y18" i="17" s="1"/>
  <c r="C18" i="17"/>
  <c r="X18" i="17" s="1"/>
  <c r="D16" i="17"/>
  <c r="Y16" i="17" s="1"/>
  <c r="C16" i="17"/>
  <c r="X16" i="17" s="1"/>
  <c r="D15" i="17"/>
  <c r="Y15" i="17" s="1"/>
  <c r="C15" i="17"/>
  <c r="X15" i="17" s="1"/>
  <c r="D13" i="17"/>
  <c r="Y13" i="17" s="1"/>
  <c r="C13" i="17"/>
  <c r="X13" i="17" s="1"/>
  <c r="D12" i="17"/>
  <c r="Y12" i="17" s="1"/>
  <c r="C12" i="17"/>
  <c r="X12" i="17" s="1"/>
  <c r="D10" i="17"/>
  <c r="Y10" i="17" s="1"/>
  <c r="C10" i="17"/>
  <c r="X10" i="17" s="1"/>
  <c r="D9" i="17"/>
  <c r="Y9" i="17" s="1"/>
  <c r="C9" i="17"/>
  <c r="X9" i="17" s="1"/>
  <c r="D8" i="17"/>
  <c r="Y8" i="17" s="1"/>
  <c r="C8" i="17"/>
  <c r="X8" i="17" s="1"/>
  <c r="L51" i="17"/>
  <c r="AG51" i="17" s="1"/>
  <c r="L50" i="17"/>
  <c r="AG50" i="17" s="1"/>
  <c r="L48" i="17"/>
  <c r="AG48" i="17" s="1"/>
  <c r="L47" i="17"/>
  <c r="AG47" i="17" s="1"/>
  <c r="L45" i="17"/>
  <c r="AG45" i="17" s="1"/>
  <c r="L44" i="17"/>
  <c r="AG44" i="17" s="1"/>
  <c r="L43" i="17"/>
  <c r="AG43" i="17" s="1"/>
  <c r="L42" i="17"/>
  <c r="AG42" i="17" s="1"/>
  <c r="L41" i="17"/>
  <c r="AG41" i="17" s="1"/>
  <c r="L40" i="17"/>
  <c r="AG40" i="17" s="1"/>
  <c r="L39" i="17"/>
  <c r="AG39" i="17" s="1"/>
  <c r="L38" i="17"/>
  <c r="AG38" i="17" s="1"/>
  <c r="L37" i="17"/>
  <c r="AG37" i="17" s="1"/>
  <c r="L35" i="17"/>
  <c r="AG35" i="17" s="1"/>
  <c r="L34" i="17"/>
  <c r="AG34" i="17" s="1"/>
  <c r="L32" i="17"/>
  <c r="AG32" i="17" s="1"/>
  <c r="L31" i="17"/>
  <c r="L29" i="17"/>
  <c r="AG29" i="17" s="1"/>
  <c r="L28" i="17"/>
  <c r="AG28" i="17" s="1"/>
  <c r="L26" i="17"/>
  <c r="AG26" i="17" s="1"/>
  <c r="L25" i="17"/>
  <c r="AG25" i="17" s="1"/>
  <c r="L24" i="17"/>
  <c r="AG24" i="17" s="1"/>
  <c r="L23" i="17"/>
  <c r="AG23" i="17" s="1"/>
  <c r="L22" i="17"/>
  <c r="AG22" i="17" s="1"/>
  <c r="L21" i="17"/>
  <c r="AG21" i="17" s="1"/>
  <c r="L19" i="17"/>
  <c r="AG19" i="17" s="1"/>
  <c r="L18" i="17"/>
  <c r="AG18" i="17" s="1"/>
  <c r="L16" i="17"/>
  <c r="AG16" i="17" s="1"/>
  <c r="L15" i="17"/>
  <c r="AG15" i="17" s="1"/>
  <c r="L13" i="17"/>
  <c r="AG13" i="17" s="1"/>
  <c r="L12" i="17"/>
  <c r="AG12" i="17" s="1"/>
  <c r="L10" i="17"/>
  <c r="AG10" i="17" s="1"/>
  <c r="L9" i="17"/>
  <c r="AG9" i="17" s="1"/>
  <c r="L8" i="17"/>
  <c r="AG8" i="17" s="1"/>
  <c r="L7" i="17"/>
  <c r="AG7" i="17" s="1"/>
  <c r="P103" i="2"/>
  <c r="P100" i="2"/>
  <c r="P85" i="2"/>
  <c r="P81" i="2"/>
  <c r="L103" i="2"/>
  <c r="L100" i="2"/>
  <c r="L85" i="2"/>
  <c r="L81" i="2"/>
  <c r="I103" i="2"/>
  <c r="I100" i="2"/>
  <c r="I85" i="2"/>
  <c r="I81" i="2"/>
  <c r="E103" i="2"/>
  <c r="E100" i="2"/>
  <c r="E85" i="2"/>
  <c r="E81" i="2"/>
  <c r="AG31" i="17" l="1"/>
  <c r="L33" i="17"/>
  <c r="AG33" i="17" s="1"/>
  <c r="Y31" i="17"/>
  <c r="D33" i="17"/>
  <c r="Y33" i="17" s="1"/>
  <c r="K51" i="17"/>
  <c r="AF51" i="17" s="1"/>
  <c r="K50" i="17"/>
  <c r="AF50" i="17" s="1"/>
  <c r="K48" i="17"/>
  <c r="AF48" i="17" s="1"/>
  <c r="K47" i="17"/>
  <c r="AF47" i="17" s="1"/>
  <c r="K45" i="17"/>
  <c r="AF45" i="17" s="1"/>
  <c r="K44" i="17"/>
  <c r="AF44" i="17" s="1"/>
  <c r="K43" i="17"/>
  <c r="AF43" i="17" s="1"/>
  <c r="K42" i="17"/>
  <c r="AF42" i="17" s="1"/>
  <c r="K41" i="17"/>
  <c r="AF41" i="17" s="1"/>
  <c r="K40" i="17"/>
  <c r="AF40" i="17" s="1"/>
  <c r="K39" i="17"/>
  <c r="AF39" i="17" s="1"/>
  <c r="K38" i="17"/>
  <c r="AF38" i="17" s="1"/>
  <c r="K37" i="17"/>
  <c r="AF37" i="17" s="1"/>
  <c r="AF35" i="17"/>
  <c r="AF34" i="17"/>
  <c r="AF32" i="17"/>
  <c r="K29" i="17"/>
  <c r="AF29" i="17" s="1"/>
  <c r="K28" i="17"/>
  <c r="AF28" i="17" s="1"/>
  <c r="K26" i="17"/>
  <c r="AF26" i="17" s="1"/>
  <c r="K25" i="17"/>
  <c r="AF25" i="17" s="1"/>
  <c r="K24" i="17"/>
  <c r="AF24" i="17" s="1"/>
  <c r="K23" i="17"/>
  <c r="AF23" i="17" s="1"/>
  <c r="K22" i="17"/>
  <c r="AF22" i="17" s="1"/>
  <c r="K21" i="17"/>
  <c r="AF21" i="17" s="1"/>
  <c r="K19" i="17"/>
  <c r="AF19" i="17" s="1"/>
  <c r="K18" i="17"/>
  <c r="AF18" i="17" s="1"/>
  <c r="AF16" i="17"/>
  <c r="AF15" i="17"/>
  <c r="AF13" i="17"/>
  <c r="AF12" i="17"/>
  <c r="AF10" i="17"/>
  <c r="AF9" i="17"/>
  <c r="AF8" i="17"/>
  <c r="P201" i="2"/>
  <c r="P67" i="2"/>
  <c r="P65" i="2"/>
  <c r="P60" i="2"/>
  <c r="P59" i="2"/>
  <c r="P57" i="2"/>
  <c r="P55" i="2"/>
  <c r="P45" i="2"/>
  <c r="P43" i="2"/>
  <c r="E201" i="2"/>
  <c r="E196" i="2"/>
  <c r="E193" i="2"/>
  <c r="E192" i="2"/>
  <c r="E190" i="2"/>
  <c r="E71" i="2"/>
  <c r="E70" i="2"/>
  <c r="E68" i="2"/>
  <c r="E67" i="2"/>
  <c r="E65" i="2"/>
  <c r="E64" i="2"/>
  <c r="E61" i="2"/>
  <c r="E60" i="2"/>
  <c r="E59" i="2"/>
  <c r="E57" i="2"/>
  <c r="E55" i="2"/>
  <c r="E54" i="2"/>
  <c r="E53" i="2"/>
  <c r="E52" i="2"/>
  <c r="E51" i="2"/>
  <c r="E49" i="2"/>
  <c r="E47" i="2"/>
  <c r="E45" i="2"/>
  <c r="E43" i="2"/>
  <c r="P196" i="2"/>
  <c r="P193" i="2"/>
  <c r="P192" i="2"/>
  <c r="P190" i="2"/>
  <c r="P75" i="2"/>
  <c r="P71" i="2"/>
  <c r="P70" i="2"/>
  <c r="P68" i="2"/>
  <c r="P61" i="2"/>
  <c r="P54" i="2"/>
  <c r="P53" i="2"/>
  <c r="P52" i="2"/>
  <c r="P49" i="2"/>
  <c r="P47" i="2"/>
  <c r="L201" i="2"/>
  <c r="L67" i="2"/>
  <c r="L65" i="2"/>
  <c r="L60" i="2"/>
  <c r="L59" i="2"/>
  <c r="L57" i="2"/>
  <c r="L54" i="2"/>
  <c r="L45" i="2"/>
  <c r="L43" i="2"/>
  <c r="I201" i="2"/>
  <c r="I196" i="2"/>
  <c r="I193" i="2"/>
  <c r="I192" i="2"/>
  <c r="I190" i="2"/>
  <c r="I71" i="2"/>
  <c r="I70" i="2"/>
  <c r="I68" i="2"/>
  <c r="I67" i="2"/>
  <c r="I65" i="2"/>
  <c r="I64" i="2"/>
  <c r="I61" i="2"/>
  <c r="I60" i="2"/>
  <c r="I59" i="2"/>
  <c r="I57" i="2"/>
  <c r="I55" i="2"/>
  <c r="I54" i="2"/>
  <c r="I53" i="2"/>
  <c r="I52" i="2"/>
  <c r="I51" i="2"/>
  <c r="I49" i="2"/>
  <c r="I47" i="2"/>
  <c r="I45" i="2"/>
  <c r="I43" i="2"/>
  <c r="D217" i="2" l="1"/>
  <c r="AF31" i="17"/>
  <c r="AF33" i="17"/>
  <c r="J51" i="17"/>
  <c r="AE51" i="17" s="1"/>
  <c r="J50" i="17"/>
  <c r="AE50" i="17" s="1"/>
  <c r="J48" i="17"/>
  <c r="AE48" i="17" s="1"/>
  <c r="J47" i="17"/>
  <c r="AE47" i="17" s="1"/>
  <c r="J45" i="17"/>
  <c r="AE45" i="17" s="1"/>
  <c r="J44" i="17"/>
  <c r="AE44" i="17" s="1"/>
  <c r="J43" i="17"/>
  <c r="AE43" i="17" s="1"/>
  <c r="J42" i="17"/>
  <c r="AE42" i="17" s="1"/>
  <c r="J41" i="17"/>
  <c r="AE41" i="17" s="1"/>
  <c r="J40" i="17"/>
  <c r="AE40" i="17" s="1"/>
  <c r="J39" i="17"/>
  <c r="AE39" i="17" s="1"/>
  <c r="J38" i="17"/>
  <c r="AE38" i="17" s="1"/>
  <c r="J37" i="17"/>
  <c r="AE37" i="17" s="1"/>
  <c r="J35" i="17"/>
  <c r="AE35" i="17" s="1"/>
  <c r="J34" i="17"/>
  <c r="AE34" i="17" s="1"/>
  <c r="J32" i="17"/>
  <c r="AE32" i="17" s="1"/>
  <c r="J31" i="17"/>
  <c r="J29" i="17"/>
  <c r="AE29" i="17" s="1"/>
  <c r="J28" i="17"/>
  <c r="AE28" i="17" s="1"/>
  <c r="J26" i="17"/>
  <c r="AE26" i="17" s="1"/>
  <c r="J25" i="17"/>
  <c r="AE25" i="17" s="1"/>
  <c r="J24" i="17"/>
  <c r="AE24" i="17" s="1"/>
  <c r="J23" i="17"/>
  <c r="AE23" i="17" s="1"/>
  <c r="J22" i="17"/>
  <c r="AE22" i="17" s="1"/>
  <c r="J21" i="17"/>
  <c r="AE21" i="17" s="1"/>
  <c r="J19" i="17"/>
  <c r="AE19" i="17" s="1"/>
  <c r="J18" i="17"/>
  <c r="AE18" i="17" s="1"/>
  <c r="J16" i="17"/>
  <c r="AE16" i="17" s="1"/>
  <c r="J15" i="17"/>
  <c r="AE15" i="17" s="1"/>
  <c r="J13" i="17"/>
  <c r="AE13" i="17" s="1"/>
  <c r="J12" i="17"/>
  <c r="AE12" i="17" s="1"/>
  <c r="J10" i="17"/>
  <c r="AE10" i="17" s="1"/>
  <c r="J9" i="17"/>
  <c r="AE9" i="17" s="1"/>
  <c r="J8" i="17"/>
  <c r="AE8" i="17" s="1"/>
  <c r="P97" i="2"/>
  <c r="P96" i="2"/>
  <c r="P94" i="2"/>
  <c r="P92" i="2"/>
  <c r="P89" i="2"/>
  <c r="P88" i="2"/>
  <c r="P87" i="2"/>
  <c r="P84" i="2"/>
  <c r="P82" i="2"/>
  <c r="L97" i="2"/>
  <c r="L96" i="2"/>
  <c r="L94" i="2"/>
  <c r="L92" i="2"/>
  <c r="L89" i="2"/>
  <c r="L88" i="2"/>
  <c r="L87" i="2"/>
  <c r="L84" i="2"/>
  <c r="L82" i="2"/>
  <c r="I97" i="2"/>
  <c r="I96" i="2"/>
  <c r="I94" i="2"/>
  <c r="I92" i="2"/>
  <c r="I89" i="2"/>
  <c r="I88" i="2"/>
  <c r="I87" i="2"/>
  <c r="I84" i="2"/>
  <c r="I82" i="2"/>
  <c r="E97" i="2"/>
  <c r="E96" i="2"/>
  <c r="E94" i="2"/>
  <c r="E92" i="2"/>
  <c r="E89" i="2"/>
  <c r="E88" i="2"/>
  <c r="E87" i="2"/>
  <c r="E84" i="2"/>
  <c r="E82" i="2"/>
  <c r="AE31" i="17" l="1"/>
  <c r="J33" i="17"/>
  <c r="AE33" i="17" s="1"/>
  <c r="F51" i="17"/>
  <c r="AA51" i="17" s="1"/>
  <c r="F50" i="17"/>
  <c r="AA50" i="17" s="1"/>
  <c r="F48" i="17"/>
  <c r="AA48" i="17" s="1"/>
  <c r="F47" i="17"/>
  <c r="AA47" i="17" s="1"/>
  <c r="F45" i="17"/>
  <c r="AA45" i="17" s="1"/>
  <c r="F44" i="17"/>
  <c r="AA44" i="17" s="1"/>
  <c r="F43" i="17"/>
  <c r="AA43" i="17" s="1"/>
  <c r="F42" i="17"/>
  <c r="AA42" i="17" s="1"/>
  <c r="F41" i="17"/>
  <c r="AA41" i="17" s="1"/>
  <c r="F40" i="17"/>
  <c r="AA40" i="17" s="1"/>
  <c r="F39" i="17"/>
  <c r="AA39" i="17" s="1"/>
  <c r="F38" i="17"/>
  <c r="AA38" i="17" s="1"/>
  <c r="F37" i="17"/>
  <c r="AA37" i="17" s="1"/>
  <c r="F35" i="17"/>
  <c r="AA35" i="17" s="1"/>
  <c r="F34" i="17"/>
  <c r="AA34" i="17" s="1"/>
  <c r="F32" i="17"/>
  <c r="AA32" i="17" s="1"/>
  <c r="F31" i="17"/>
  <c r="F29" i="17"/>
  <c r="AA29" i="17" s="1"/>
  <c r="F28" i="17"/>
  <c r="AA28" i="17" s="1"/>
  <c r="F26" i="17"/>
  <c r="AA26" i="17" s="1"/>
  <c r="F25" i="17"/>
  <c r="AA25" i="17" s="1"/>
  <c r="F24" i="17"/>
  <c r="AA24" i="17" s="1"/>
  <c r="F23" i="17"/>
  <c r="AA23" i="17" s="1"/>
  <c r="F22" i="17"/>
  <c r="AA22" i="17" s="1"/>
  <c r="F21" i="17"/>
  <c r="AA21" i="17" s="1"/>
  <c r="F19" i="17"/>
  <c r="AA19" i="17" s="1"/>
  <c r="F18" i="17"/>
  <c r="AA18" i="17" s="1"/>
  <c r="F16" i="17"/>
  <c r="AA16" i="17" s="1"/>
  <c r="F15" i="17"/>
  <c r="AA15" i="17" s="1"/>
  <c r="F13" i="17"/>
  <c r="AA13" i="17" s="1"/>
  <c r="F12" i="17"/>
  <c r="AA12" i="17" s="1"/>
  <c r="F10" i="17"/>
  <c r="AA10" i="17" s="1"/>
  <c r="F9" i="17"/>
  <c r="AA9" i="17" s="1"/>
  <c r="P107" i="2"/>
  <c r="P72" i="2"/>
  <c r="L107" i="2"/>
  <c r="L72" i="2"/>
  <c r="L56" i="2"/>
  <c r="I107" i="2"/>
  <c r="I72" i="2"/>
  <c r="I56" i="2"/>
  <c r="E107" i="2"/>
  <c r="E158" i="2" s="1"/>
  <c r="E72" i="2"/>
  <c r="E56" i="2"/>
  <c r="AA31" i="17" l="1"/>
  <c r="F33" i="17"/>
  <c r="AA33" i="17" s="1"/>
  <c r="E51" i="17"/>
  <c r="Z51" i="17" s="1"/>
  <c r="E50" i="17"/>
  <c r="Z50" i="17" s="1"/>
  <c r="E48" i="17"/>
  <c r="Z48" i="17" s="1"/>
  <c r="E47" i="17"/>
  <c r="Z47" i="17" s="1"/>
  <c r="E45" i="17"/>
  <c r="Z45" i="17" s="1"/>
  <c r="E44" i="17"/>
  <c r="Z44" i="17" s="1"/>
  <c r="E43" i="17"/>
  <c r="Z43" i="17" s="1"/>
  <c r="E42" i="17"/>
  <c r="Z42" i="17" s="1"/>
  <c r="E41" i="17"/>
  <c r="Z41" i="17" s="1"/>
  <c r="E40" i="17"/>
  <c r="Z40" i="17" s="1"/>
  <c r="E39" i="17"/>
  <c r="Z39" i="17" s="1"/>
  <c r="E38" i="17"/>
  <c r="Z38" i="17" s="1"/>
  <c r="E37" i="17"/>
  <c r="Z37" i="17" s="1"/>
  <c r="E35" i="17"/>
  <c r="Z35" i="17" s="1"/>
  <c r="E34" i="17"/>
  <c r="Z34" i="17" s="1"/>
  <c r="E32" i="17"/>
  <c r="Z32" i="17" s="1"/>
  <c r="E31" i="17"/>
  <c r="E29" i="17"/>
  <c r="Z29" i="17" s="1"/>
  <c r="E28" i="17"/>
  <c r="Z28" i="17" s="1"/>
  <c r="E26" i="17"/>
  <c r="Z26" i="17" s="1"/>
  <c r="E25" i="17"/>
  <c r="Z25" i="17" s="1"/>
  <c r="E24" i="17"/>
  <c r="Z24" i="17" s="1"/>
  <c r="E23" i="17"/>
  <c r="Z23" i="17" s="1"/>
  <c r="E22" i="17"/>
  <c r="Z22" i="17" s="1"/>
  <c r="E21" i="17"/>
  <c r="Z21" i="17" s="1"/>
  <c r="E19" i="17"/>
  <c r="Z19" i="17" s="1"/>
  <c r="E18" i="17"/>
  <c r="Z18" i="17" s="1"/>
  <c r="E16" i="17"/>
  <c r="Z16" i="17" s="1"/>
  <c r="E15" i="17"/>
  <c r="Z15" i="17" s="1"/>
  <c r="E13" i="17"/>
  <c r="Z13" i="17" s="1"/>
  <c r="E12" i="17"/>
  <c r="Z12" i="17" s="1"/>
  <c r="E10" i="17"/>
  <c r="Z10" i="17" s="1"/>
  <c r="E9" i="17"/>
  <c r="Z9" i="17" s="1"/>
  <c r="E8" i="17"/>
  <c r="Z8" i="17" s="1"/>
  <c r="E7" i="17"/>
  <c r="Z7" i="17" s="1"/>
  <c r="P38" i="2"/>
  <c r="P35" i="2"/>
  <c r="P34" i="2"/>
  <c r="P33" i="2"/>
  <c r="P31" i="2"/>
  <c r="P28" i="2"/>
  <c r="P27" i="2"/>
  <c r="P24" i="2"/>
  <c r="P22" i="2"/>
  <c r="P21" i="2"/>
  <c r="P19" i="2"/>
  <c r="P18" i="2"/>
  <c r="P17" i="2"/>
  <c r="P12" i="2"/>
  <c r="L38" i="2"/>
  <c r="L35" i="2"/>
  <c r="L34" i="2"/>
  <c r="L33" i="2"/>
  <c r="L31" i="2"/>
  <c r="L28" i="2"/>
  <c r="L27" i="2"/>
  <c r="L24" i="2"/>
  <c r="L22" i="2"/>
  <c r="L21" i="2"/>
  <c r="L19" i="2"/>
  <c r="L18" i="2"/>
  <c r="L17" i="2"/>
  <c r="L12" i="2"/>
  <c r="I38" i="2"/>
  <c r="I35" i="2"/>
  <c r="I34" i="2"/>
  <c r="I33" i="2"/>
  <c r="I31" i="2"/>
  <c r="I28" i="2"/>
  <c r="I27" i="2"/>
  <c r="I24" i="2"/>
  <c r="I22" i="2"/>
  <c r="I21" i="2"/>
  <c r="I19" i="2"/>
  <c r="I18" i="2"/>
  <c r="I17" i="2"/>
  <c r="I12" i="2"/>
  <c r="E38" i="2"/>
  <c r="E35" i="2"/>
  <c r="E34" i="2"/>
  <c r="E33" i="2"/>
  <c r="E31" i="2"/>
  <c r="E28" i="2"/>
  <c r="E27" i="2"/>
  <c r="E24" i="2"/>
  <c r="E22" i="2"/>
  <c r="E21" i="2"/>
  <c r="E19" i="2"/>
  <c r="E18" i="2"/>
  <c r="E17" i="2"/>
  <c r="E12" i="2"/>
  <c r="Z31" i="17" l="1"/>
  <c r="E33" i="17"/>
  <c r="Z33" i="17" s="1"/>
  <c r="Q130" i="2"/>
  <c r="N130" i="2"/>
  <c r="M130" i="2"/>
  <c r="G130" i="2"/>
  <c r="F130" i="2"/>
  <c r="E52" i="17"/>
  <c r="Z52" i="17" s="1"/>
  <c r="E36" i="17"/>
  <c r="Z36" i="17" s="1"/>
  <c r="E46" i="17"/>
  <c r="Z46" i="17" s="1"/>
  <c r="E30" i="17"/>
  <c r="Z30" i="17" s="1"/>
  <c r="E27" i="17"/>
  <c r="Z27" i="17" s="1"/>
  <c r="E20" i="17"/>
  <c r="Z20" i="17" s="1"/>
  <c r="E17" i="17"/>
  <c r="Z17" i="17" s="1"/>
  <c r="E11" i="17"/>
  <c r="Z11" i="17" s="1"/>
  <c r="N46" i="22"/>
  <c r="N41" i="22"/>
  <c r="O41" i="22"/>
  <c r="O39" i="22"/>
  <c r="N39" i="22"/>
  <c r="N28" i="22"/>
  <c r="N20" i="22"/>
  <c r="P16" i="22"/>
  <c r="T15" i="22"/>
  <c r="O14" i="22"/>
  <c r="T14" i="22"/>
  <c r="O11" i="22"/>
  <c r="Q9" i="22"/>
  <c r="Q12" i="22" s="1"/>
  <c r="P7" i="22"/>
  <c r="P6" i="22"/>
  <c r="N6" i="22"/>
  <c r="O6" i="22" s="1"/>
  <c r="N10" i="22" l="1"/>
  <c r="N24" i="22"/>
  <c r="O24" i="22"/>
  <c r="N12" i="22"/>
  <c r="O25" i="22"/>
  <c r="N25" i="22"/>
  <c r="N14" i="22"/>
  <c r="O18" i="22"/>
  <c r="N30" i="22"/>
  <c r="N18" i="22"/>
  <c r="AH12" i="15"/>
  <c r="U192" i="2"/>
  <c r="U190" i="2"/>
  <c r="U75" i="2"/>
  <c r="U71" i="2"/>
  <c r="U65" i="2"/>
  <c r="U61" i="2"/>
  <c r="U60" i="2"/>
  <c r="U55" i="2"/>
  <c r="U54" i="2"/>
  <c r="U53" i="2"/>
  <c r="U52" i="2"/>
  <c r="U51" i="2"/>
  <c r="U47" i="2"/>
  <c r="U43" i="2"/>
  <c r="U49" i="2"/>
  <c r="U68" i="2"/>
  <c r="U67" i="2"/>
  <c r="U45" i="2"/>
  <c r="U201" i="2"/>
  <c r="U196" i="2"/>
  <c r="U193" i="2"/>
  <c r="U70" i="2"/>
  <c r="U64" i="2"/>
  <c r="U59" i="2"/>
  <c r="U57" i="2"/>
  <c r="N36" i="22" l="1"/>
  <c r="N34" i="22"/>
  <c r="N27" i="22"/>
  <c r="O27" i="22"/>
  <c r="N8" i="22"/>
  <c r="N33" i="22"/>
  <c r="P28" i="22"/>
  <c r="N31" i="22" l="1"/>
  <c r="G11" i="17" l="1"/>
  <c r="AB11" i="17" s="1"/>
  <c r="K27" i="17" l="1"/>
  <c r="AF27" i="17" s="1"/>
  <c r="H17" i="17" l="1"/>
  <c r="AC17" i="17" s="1"/>
  <c r="T15" i="17" l="1"/>
  <c r="K77" i="2"/>
  <c r="K225" i="2" s="1"/>
  <c r="C177" i="2"/>
  <c r="A77" i="2"/>
  <c r="A104" i="2"/>
  <c r="O104" i="2"/>
  <c r="K104" i="2"/>
  <c r="K226" i="2" s="1"/>
  <c r="J104" i="2"/>
  <c r="C104" i="2"/>
  <c r="J77" i="2"/>
  <c r="C77" i="2"/>
  <c r="T14" i="17" l="1"/>
  <c r="E14" i="17"/>
  <c r="Z14" i="17" s="1"/>
  <c r="P211" i="2"/>
  <c r="U100" i="2"/>
  <c r="U85" i="2"/>
  <c r="U81" i="2"/>
  <c r="U103" i="2" l="1"/>
  <c r="T196" i="2" l="1"/>
  <c r="T193" i="2"/>
  <c r="T190" i="2"/>
  <c r="T75" i="2"/>
  <c r="T71" i="2"/>
  <c r="T70" i="2"/>
  <c r="T68" i="2"/>
  <c r="T65" i="2"/>
  <c r="T64" i="2"/>
  <c r="T61" i="2"/>
  <c r="T60" i="2"/>
  <c r="T59" i="2"/>
  <c r="T57" i="2"/>
  <c r="T54" i="2"/>
  <c r="T53" i="2"/>
  <c r="T52" i="2"/>
  <c r="T51" i="2"/>
  <c r="T49" i="2"/>
  <c r="T47" i="2"/>
  <c r="T45" i="2"/>
  <c r="W114" i="2"/>
  <c r="W102" i="2"/>
  <c r="W101" i="2"/>
  <c r="W99" i="2"/>
  <c r="W98" i="2"/>
  <c r="W93" i="2"/>
  <c r="W91" i="2"/>
  <c r="W90" i="2"/>
  <c r="W83" i="2"/>
  <c r="W80" i="2"/>
  <c r="W74" i="2"/>
  <c r="W73" i="2"/>
  <c r="W69" i="2"/>
  <c r="W66" i="2"/>
  <c r="W63" i="2"/>
  <c r="W58" i="2"/>
  <c r="W48" i="2"/>
  <c r="W46" i="2"/>
  <c r="W32" i="2"/>
  <c r="W26" i="2"/>
  <c r="W20" i="2"/>
  <c r="W15" i="2"/>
  <c r="P214" i="2" l="1"/>
  <c r="J114" i="2"/>
  <c r="J158" i="2" s="1"/>
  <c r="N114" i="2" l="1"/>
  <c r="Q201" i="2"/>
  <c r="Q193" i="2"/>
  <c r="Q192" i="2"/>
  <c r="Q67" i="2"/>
  <c r="Q64" i="2"/>
  <c r="Q61" i="2"/>
  <c r="Q60" i="2"/>
  <c r="Q59" i="2"/>
  <c r="Q55" i="2"/>
  <c r="Q53" i="2"/>
  <c r="Q52" i="2"/>
  <c r="H52" i="17" l="1"/>
  <c r="AC52" i="17" s="1"/>
  <c r="H49" i="17"/>
  <c r="AC49" i="17" s="1"/>
  <c r="H46" i="17"/>
  <c r="AC46" i="17" s="1"/>
  <c r="H36" i="17"/>
  <c r="AC36" i="17" s="1"/>
  <c r="H30" i="17"/>
  <c r="AC30" i="17" s="1"/>
  <c r="H27" i="17"/>
  <c r="AC27" i="17" s="1"/>
  <c r="H20" i="17"/>
  <c r="AC20" i="17" s="1"/>
  <c r="H14" i="17"/>
  <c r="AC14" i="17" s="1"/>
  <c r="H11" i="17"/>
  <c r="AC11" i="17" s="1"/>
  <c r="L52" i="17" l="1"/>
  <c r="AG52" i="17" s="1"/>
  <c r="L49" i="17"/>
  <c r="AG49" i="17" s="1"/>
  <c r="L46" i="17"/>
  <c r="AG46" i="17" s="1"/>
  <c r="L36" i="17"/>
  <c r="AG36" i="17" s="1"/>
  <c r="L30" i="17"/>
  <c r="AG30" i="17" s="1"/>
  <c r="L27" i="17"/>
  <c r="AG27" i="17" s="1"/>
  <c r="L20" i="17"/>
  <c r="AG20" i="17" s="1"/>
  <c r="L17" i="17"/>
  <c r="AG17" i="17" s="1"/>
  <c r="L14" i="17"/>
  <c r="AG14" i="17" s="1"/>
  <c r="L11" i="17"/>
  <c r="AG11" i="17" s="1"/>
  <c r="K52" i="17" l="1"/>
  <c r="AF52" i="17" s="1"/>
  <c r="K49" i="17"/>
  <c r="AF49" i="17" s="1"/>
  <c r="K46" i="17"/>
  <c r="AF46" i="17" s="1"/>
  <c r="AF36" i="17"/>
  <c r="K30" i="17"/>
  <c r="AF30" i="17" s="1"/>
  <c r="K20" i="17"/>
  <c r="AF20" i="17" s="1"/>
  <c r="K17" i="17"/>
  <c r="AF17" i="17" s="1"/>
  <c r="AF14" i="17"/>
  <c r="K11" i="17"/>
  <c r="AF11" i="17" s="1"/>
  <c r="J52" i="17" l="1"/>
  <c r="AE52" i="17" s="1"/>
  <c r="J49" i="17"/>
  <c r="AE49" i="17" s="1"/>
  <c r="J46" i="17"/>
  <c r="AE46" i="17" s="1"/>
  <c r="J36" i="17"/>
  <c r="AE36" i="17" s="1"/>
  <c r="J30" i="17"/>
  <c r="AE30" i="17" s="1"/>
  <c r="J27" i="17"/>
  <c r="AE27" i="17" s="1"/>
  <c r="J20" i="17"/>
  <c r="AE20" i="17" s="1"/>
  <c r="J17" i="17"/>
  <c r="AE17" i="17" s="1"/>
  <c r="J14" i="17"/>
  <c r="AE14" i="17" s="1"/>
  <c r="J11" i="17"/>
  <c r="AE11" i="17" s="1"/>
  <c r="G52" i="17" l="1"/>
  <c r="AB52" i="17" s="1"/>
  <c r="G49" i="17"/>
  <c r="AB49" i="17" s="1"/>
  <c r="G46" i="17"/>
  <c r="AB46" i="17" s="1"/>
  <c r="G36" i="17"/>
  <c r="AB36" i="17" s="1"/>
  <c r="G30" i="17"/>
  <c r="AB30" i="17" s="1"/>
  <c r="G27" i="17"/>
  <c r="AB27" i="17" s="1"/>
  <c r="G20" i="17"/>
  <c r="AB20" i="17" s="1"/>
  <c r="G17" i="17"/>
  <c r="AB17" i="17" s="1"/>
  <c r="G14" i="17"/>
  <c r="AB14" i="17" s="1"/>
  <c r="F52" i="17" l="1"/>
  <c r="AA52" i="17" s="1"/>
  <c r="F49" i="17"/>
  <c r="AA49" i="17" s="1"/>
  <c r="F46" i="17"/>
  <c r="AA46" i="17" s="1"/>
  <c r="F36" i="17"/>
  <c r="AA36" i="17" s="1"/>
  <c r="F30" i="17"/>
  <c r="AA30" i="17" s="1"/>
  <c r="F27" i="17"/>
  <c r="AA27" i="17" s="1"/>
  <c r="F20" i="17"/>
  <c r="AA20" i="17" s="1"/>
  <c r="F17" i="17"/>
  <c r="AA17" i="17" s="1"/>
  <c r="F14" i="17"/>
  <c r="AA14" i="17" s="1"/>
  <c r="F11" i="17"/>
  <c r="AA11" i="17" s="1"/>
  <c r="P95" i="2" l="1"/>
  <c r="L95" i="2"/>
  <c r="L104" i="2" l="1"/>
  <c r="Q196" i="2"/>
  <c r="Q190" i="2"/>
  <c r="Q75" i="2"/>
  <c r="Q71" i="2"/>
  <c r="Q70" i="2"/>
  <c r="Q68" i="2"/>
  <c r="Q65" i="2"/>
  <c r="Q57" i="2"/>
  <c r="J217" i="2"/>
  <c r="L50" i="2"/>
  <c r="L77" i="2" l="1"/>
  <c r="M77" i="2" s="1"/>
  <c r="P104" i="2" l="1"/>
  <c r="W171" i="2"/>
  <c r="W165" i="2"/>
  <c r="W161" i="2"/>
  <c r="W152" i="2"/>
  <c r="W121" i="2"/>
  <c r="M110" i="2"/>
  <c r="N102" i="2"/>
  <c r="G80" i="2"/>
  <c r="M80" i="2"/>
  <c r="N80" i="2"/>
  <c r="Q80" i="2"/>
  <c r="F80" i="2" l="1"/>
  <c r="L40" i="2"/>
  <c r="W10" i="2"/>
  <c r="W6" i="2"/>
  <c r="G114" i="2"/>
  <c r="G102" i="2"/>
  <c r="G101" i="2"/>
  <c r="P50" i="2"/>
  <c r="Q26" i="2"/>
  <c r="Q31" i="2"/>
  <c r="M201" i="2"/>
  <c r="M196" i="2"/>
  <c r="M193" i="2"/>
  <c r="M190" i="2"/>
  <c r="L168" i="2"/>
  <c r="L170" i="2"/>
  <c r="L172" i="2"/>
  <c r="L175" i="2"/>
  <c r="M26" i="2"/>
  <c r="M20" i="2"/>
  <c r="M15" i="2"/>
  <c r="I215" i="2"/>
  <c r="I216" i="2" l="1"/>
  <c r="E104" i="2" l="1"/>
  <c r="I218" i="2"/>
  <c r="T201" i="2"/>
  <c r="T67" i="2"/>
  <c r="T55" i="2"/>
  <c r="I203" i="2" l="1"/>
  <c r="I230" i="2" s="1"/>
  <c r="T192" i="2"/>
  <c r="E217" i="2"/>
  <c r="H217" i="2"/>
  <c r="E77" i="2" l="1"/>
  <c r="K5" i="17"/>
  <c r="AF5" i="17" s="1"/>
  <c r="I217" i="2"/>
  <c r="T43" i="2"/>
  <c r="I212" i="2"/>
  <c r="T217" i="2" l="1"/>
  <c r="I52" i="17"/>
  <c r="AD52" i="17" s="1"/>
  <c r="D52" i="17"/>
  <c r="Y52" i="17" s="1"/>
  <c r="O39" i="17"/>
  <c r="I36" i="17"/>
  <c r="AD36" i="17" s="1"/>
  <c r="P16" i="17"/>
  <c r="O11" i="17"/>
  <c r="Q9" i="17"/>
  <c r="Q12" i="17" s="1"/>
  <c r="I11" i="17"/>
  <c r="AD11" i="17" s="1"/>
  <c r="P7" i="17"/>
  <c r="M7" i="17"/>
  <c r="AH7" i="17" s="1"/>
  <c r="P6" i="17"/>
  <c r="M38" i="2"/>
  <c r="M35" i="2"/>
  <c r="M34" i="2"/>
  <c r="M33" i="2"/>
  <c r="M31" i="2"/>
  <c r="M28" i="2"/>
  <c r="M27" i="2"/>
  <c r="M24" i="2"/>
  <c r="M22" i="2"/>
  <c r="M21" i="2"/>
  <c r="M19" i="2"/>
  <c r="M18" i="2"/>
  <c r="M17" i="2"/>
  <c r="C14" i="17" l="1"/>
  <c r="X14" i="17" s="1"/>
  <c r="I211" i="2"/>
  <c r="M12" i="2"/>
  <c r="K211" i="2"/>
  <c r="D30" i="17"/>
  <c r="Y30" i="17" s="1"/>
  <c r="M38" i="17"/>
  <c r="M37" i="17"/>
  <c r="AH37" i="17" s="1"/>
  <c r="M22" i="17"/>
  <c r="C27" i="17"/>
  <c r="X27" i="17" s="1"/>
  <c r="M32" i="17"/>
  <c r="C17" i="17"/>
  <c r="X17" i="17" s="1"/>
  <c r="C36" i="17"/>
  <c r="X36" i="17" s="1"/>
  <c r="C46" i="17"/>
  <c r="X46" i="17" s="1"/>
  <c r="D20" i="17"/>
  <c r="Y20" i="17" s="1"/>
  <c r="C33" i="17"/>
  <c r="X33" i="17" s="1"/>
  <c r="M43" i="17"/>
  <c r="AH43" i="17" s="1"/>
  <c r="I49" i="17"/>
  <c r="AD49" i="17" s="1"/>
  <c r="D49" i="17"/>
  <c r="Y49" i="17" s="1"/>
  <c r="C52" i="17"/>
  <c r="X52" i="17" s="1"/>
  <c r="I14" i="17"/>
  <c r="AD14" i="17" s="1"/>
  <c r="AG7" i="13"/>
  <c r="W5" i="14" s="1"/>
  <c r="D11" i="17"/>
  <c r="Y11" i="17" s="1"/>
  <c r="I20" i="17"/>
  <c r="AD20" i="17" s="1"/>
  <c r="M51" i="17"/>
  <c r="AH51" i="17" s="1"/>
  <c r="M9" i="17"/>
  <c r="AH9" i="17" s="1"/>
  <c r="M25" i="17"/>
  <c r="M48" i="17"/>
  <c r="AH48" i="17" s="1"/>
  <c r="M35" i="17"/>
  <c r="AH35" i="17" s="1"/>
  <c r="M34" i="17"/>
  <c r="AH34" i="17" s="1"/>
  <c r="M29" i="17"/>
  <c r="AH29" i="17" s="1"/>
  <c r="M21" i="17"/>
  <c r="AH21" i="17" s="1"/>
  <c r="M19" i="17"/>
  <c r="AH19" i="17" s="1"/>
  <c r="M10" i="17"/>
  <c r="AH10" i="17" s="1"/>
  <c r="M8" i="17"/>
  <c r="AH8" i="17" s="1"/>
  <c r="C30" i="17"/>
  <c r="X30" i="17" s="1"/>
  <c r="M28" i="17"/>
  <c r="AH28" i="17" s="1"/>
  <c r="D17" i="17"/>
  <c r="Y17" i="17" s="1"/>
  <c r="M15" i="17"/>
  <c r="M40" i="17"/>
  <c r="AH40" i="17" s="1"/>
  <c r="D14" i="17"/>
  <c r="Y14" i="17" s="1"/>
  <c r="M31" i="17"/>
  <c r="M44" i="17"/>
  <c r="AH44" i="17" s="1"/>
  <c r="D46" i="17"/>
  <c r="Y46" i="17" s="1"/>
  <c r="M16" i="17"/>
  <c r="M26" i="17"/>
  <c r="M45" i="17"/>
  <c r="AH45" i="17" s="1"/>
  <c r="C11" i="17"/>
  <c r="X11" i="17" s="1"/>
  <c r="M12" i="17"/>
  <c r="I17" i="17"/>
  <c r="AD17" i="17" s="1"/>
  <c r="M24" i="17"/>
  <c r="AH24" i="17" s="1"/>
  <c r="D27" i="17"/>
  <c r="Y27" i="17" s="1"/>
  <c r="M13" i="17"/>
  <c r="AH13" i="17" s="1"/>
  <c r="M23" i="17"/>
  <c r="AH23" i="17" s="1"/>
  <c r="M39" i="17"/>
  <c r="AH39" i="17" s="1"/>
  <c r="I46" i="17"/>
  <c r="AD46" i="17" s="1"/>
  <c r="C49" i="17"/>
  <c r="X49" i="17" s="1"/>
  <c r="M42" i="17"/>
  <c r="C20" i="17"/>
  <c r="X20" i="17" s="1"/>
  <c r="I27" i="17"/>
  <c r="AD27" i="17" s="1"/>
  <c r="I30" i="17"/>
  <c r="AD30" i="17" s="1"/>
  <c r="D36" i="17"/>
  <c r="Y36" i="17" s="1"/>
  <c r="M18" i="17"/>
  <c r="M41" i="17"/>
  <c r="AH41" i="17" s="1"/>
  <c r="M47" i="17"/>
  <c r="M50" i="17"/>
  <c r="M32" i="2"/>
  <c r="G121" i="2"/>
  <c r="AH8" i="15" l="1"/>
  <c r="AH21" i="15" s="1"/>
  <c r="AH25" i="17"/>
  <c r="AG34" i="13"/>
  <c r="E189" i="14" s="1"/>
  <c r="AH38" i="17"/>
  <c r="AG41" i="13"/>
  <c r="AH47" i="17"/>
  <c r="AG12" i="13"/>
  <c r="AH12" i="17"/>
  <c r="AH5" i="15"/>
  <c r="AH6" i="15" s="1"/>
  <c r="AH16" i="17"/>
  <c r="AG22" i="13"/>
  <c r="AH22" i="17"/>
  <c r="AG18" i="13"/>
  <c r="E118" i="14" s="1"/>
  <c r="AH18" i="17"/>
  <c r="AH4" i="15"/>
  <c r="AH15" i="17"/>
  <c r="AG32" i="13"/>
  <c r="E174" i="14" s="1"/>
  <c r="AH32" i="17"/>
  <c r="AG44" i="13"/>
  <c r="AH50" i="17"/>
  <c r="AH11" i="15"/>
  <c r="AH42" i="17"/>
  <c r="AH9" i="15"/>
  <c r="AH26" i="17"/>
  <c r="AH31" i="17"/>
  <c r="M33" i="17"/>
  <c r="AH33" i="17" s="1"/>
  <c r="AG38" i="13"/>
  <c r="AG24" i="13"/>
  <c r="E164" i="14" s="1"/>
  <c r="AH7" i="15"/>
  <c r="AH19" i="15" s="1"/>
  <c r="M10" i="2"/>
  <c r="K40" i="2"/>
  <c r="AG39" i="13"/>
  <c r="AG42" i="13"/>
  <c r="AG37" i="13"/>
  <c r="AG23" i="13"/>
  <c r="AG22" i="15"/>
  <c r="AG26" i="13"/>
  <c r="E140" i="14" s="1"/>
  <c r="AG28" i="13"/>
  <c r="M121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i="14" s="1"/>
  <c r="AG45" i="13"/>
  <c r="AG27" i="15"/>
  <c r="AG36" i="13"/>
  <c r="E190" i="14" s="1"/>
  <c r="AG13" i="15"/>
  <c r="AG15" i="13"/>
  <c r="E103" i="14" s="1"/>
  <c r="AG19" i="13"/>
  <c r="E119" i="14" s="1"/>
  <c r="AG13" i="13"/>
  <c r="AG35" i="13"/>
  <c r="E196" i="14" s="1"/>
  <c r="O25" i="17"/>
  <c r="AG8" i="13"/>
  <c r="E75" i="14" s="1"/>
  <c r="E83" i="14" s="1"/>
  <c r="AG29" i="13"/>
  <c r="AG9" i="13"/>
  <c r="E76" i="14" s="1"/>
  <c r="E84" i="14" s="1"/>
  <c r="Q121" i="2"/>
  <c r="F121" i="2"/>
  <c r="M36" i="17"/>
  <c r="N34" i="17"/>
  <c r="M11" i="17"/>
  <c r="AH11" i="17" s="1"/>
  <c r="M49" i="17"/>
  <c r="AH49" i="17" s="1"/>
  <c r="N39" i="17"/>
  <c r="N24" i="17"/>
  <c r="O24" i="17"/>
  <c r="M46" i="17"/>
  <c r="O14" i="17"/>
  <c r="M17" i="17"/>
  <c r="AH17" i="17" s="1"/>
  <c r="N28" i="17"/>
  <c r="M30" i="17"/>
  <c r="M52" i="17"/>
  <c r="AH52" i="17" s="1"/>
  <c r="M20" i="17"/>
  <c r="AH20" i="17" s="1"/>
  <c r="N18" i="17"/>
  <c r="M14" i="17"/>
  <c r="AH14" i="17" s="1"/>
  <c r="O41" i="17"/>
  <c r="N41" i="17"/>
  <c r="M27" i="17"/>
  <c r="N121" i="2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G19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G2" i="15"/>
  <c r="AF2" i="15"/>
  <c r="AE2" i="15"/>
  <c r="AD2" i="15"/>
  <c r="AC2" i="15"/>
  <c r="AC25" i="15" s="1"/>
  <c r="AB2" i="15"/>
  <c r="AA2" i="15"/>
  <c r="Z2" i="15"/>
  <c r="Y2" i="15"/>
  <c r="X2" i="15"/>
  <c r="W2" i="15"/>
  <c r="V2" i="15"/>
  <c r="U2" i="15"/>
  <c r="U25" i="15" s="1"/>
  <c r="T2" i="15"/>
  <c r="S2" i="15"/>
  <c r="R2" i="15"/>
  <c r="Q2" i="15"/>
  <c r="Q25" i="15" s="1"/>
  <c r="P2" i="15"/>
  <c r="O2" i="15"/>
  <c r="N2" i="15"/>
  <c r="M2" i="15"/>
  <c r="M25" i="15" s="1"/>
  <c r="L2" i="15"/>
  <c r="K2" i="15"/>
  <c r="J2" i="15"/>
  <c r="I2" i="15"/>
  <c r="H2" i="15"/>
  <c r="G2" i="15"/>
  <c r="F2" i="15"/>
  <c r="E2" i="15"/>
  <c r="E25" i="15" s="1"/>
  <c r="D2" i="15"/>
  <c r="C2" i="15"/>
  <c r="C20" i="15" s="1"/>
  <c r="D196" i="14"/>
  <c r="C196" i="14"/>
  <c r="D190" i="14"/>
  <c r="C190" i="14"/>
  <c r="D189" i="14"/>
  <c r="C189" i="14"/>
  <c r="D141" i="14"/>
  <c r="C141" i="14"/>
  <c r="D140" i="14"/>
  <c r="C140" i="14"/>
  <c r="D139" i="14"/>
  <c r="C139" i="14"/>
  <c r="D120" i="14"/>
  <c r="C120" i="14"/>
  <c r="D119" i="14"/>
  <c r="C119" i="14"/>
  <c r="D118" i="14"/>
  <c r="C118" i="14"/>
  <c r="D105" i="14"/>
  <c r="C105" i="14"/>
  <c r="D104" i="14"/>
  <c r="C104" i="14"/>
  <c r="D103" i="14"/>
  <c r="C103" i="14"/>
  <c r="D86" i="14"/>
  <c r="C86" i="14"/>
  <c r="D85" i="14"/>
  <c r="C85" i="14"/>
  <c r="D84" i="14"/>
  <c r="C84" i="14"/>
  <c r="D83" i="14"/>
  <c r="C83" i="14"/>
  <c r="D57" i="14"/>
  <c r="C57" i="14"/>
  <c r="D31" i="14"/>
  <c r="C31" i="14"/>
  <c r="W8" i="14"/>
  <c r="V5" i="14"/>
  <c r="V8" i="14" s="1"/>
  <c r="U5" i="14"/>
  <c r="U8" i="14" s="1"/>
  <c r="D5" i="14"/>
  <c r="C5" i="14"/>
  <c r="E2" i="14"/>
  <c r="AH14" i="15" l="1"/>
  <c r="AI14" i="15" s="1"/>
  <c r="AH10" i="15"/>
  <c r="AG33" i="13"/>
  <c r="E175" i="14" s="1"/>
  <c r="N36" i="17"/>
  <c r="AH36" i="17"/>
  <c r="AG27" i="13"/>
  <c r="E141" i="14" s="1"/>
  <c r="AH27" i="17"/>
  <c r="AG30" i="13"/>
  <c r="AH30" i="17"/>
  <c r="N46" i="17"/>
  <c r="AH46" i="17"/>
  <c r="R15" i="15"/>
  <c r="AG20" i="13"/>
  <c r="E120" i="14" s="1"/>
  <c r="N20" i="17"/>
  <c r="AI21" i="15"/>
  <c r="E23" i="15"/>
  <c r="I23" i="15"/>
  <c r="M23" i="15"/>
  <c r="Q23" i="15"/>
  <c r="U23" i="15"/>
  <c r="Y23" i="15"/>
  <c r="AC23" i="15"/>
  <c r="J16" i="15"/>
  <c r="N16" i="15"/>
  <c r="V16" i="15"/>
  <c r="F15" i="15"/>
  <c r="AG16" i="15"/>
  <c r="AH20" i="15"/>
  <c r="AI19" i="15"/>
  <c r="AH24" i="15"/>
  <c r="AH22" i="15"/>
  <c r="AH13" i="15"/>
  <c r="AI13" i="15" s="1"/>
  <c r="AH27" i="15"/>
  <c r="K224" i="2"/>
  <c r="J15" i="15"/>
  <c r="N15" i="15"/>
  <c r="V15" i="15"/>
  <c r="Z15" i="15"/>
  <c r="AD15" i="15"/>
  <c r="AG40" i="13"/>
  <c r="AG11" i="13"/>
  <c r="N10" i="17"/>
  <c r="N31" i="17"/>
  <c r="I24" i="15"/>
  <c r="Y24" i="15"/>
  <c r="N12" i="17"/>
  <c r="AG14" i="13"/>
  <c r="AG46" i="13"/>
  <c r="AG43" i="13"/>
  <c r="AG17" i="13"/>
  <c r="E105" i="14" s="1"/>
  <c r="P28" i="17"/>
  <c r="N8" i="17"/>
  <c r="N33" i="17"/>
  <c r="N30" i="17"/>
  <c r="O27" i="17"/>
  <c r="N27" i="17"/>
  <c r="N14" i="17"/>
  <c r="O18" i="17"/>
  <c r="AG25" i="15"/>
  <c r="AG17" i="15"/>
  <c r="AG28" i="15"/>
  <c r="AG20" i="15"/>
  <c r="E78" i="14"/>
  <c r="E86" i="14" s="1"/>
  <c r="D17" i="15"/>
  <c r="H17" i="15"/>
  <c r="L17" i="15"/>
  <c r="P17" i="15"/>
  <c r="T17" i="15"/>
  <c r="X17" i="15"/>
  <c r="AB17" i="15"/>
  <c r="AF17" i="15"/>
  <c r="D20" i="15"/>
  <c r="H20" i="15"/>
  <c r="L20" i="15"/>
  <c r="P20" i="15"/>
  <c r="T20" i="15"/>
  <c r="X20" i="15"/>
  <c r="AB20" i="15"/>
  <c r="AF20" i="15"/>
  <c r="E24" i="15"/>
  <c r="E26" i="15" s="1"/>
  <c r="U24" i="15"/>
  <c r="U26" i="15" s="1"/>
  <c r="I25" i="15"/>
  <c r="Y25" i="15"/>
  <c r="I28" i="15"/>
  <c r="M28" i="15"/>
  <c r="Q28" i="15"/>
  <c r="U28" i="15"/>
  <c r="Y28" i="15"/>
  <c r="AC28" i="15"/>
  <c r="G17" i="15"/>
  <c r="K17" i="15"/>
  <c r="O17" i="15"/>
  <c r="S17" i="15"/>
  <c r="W17" i="15"/>
  <c r="AA17" i="15"/>
  <c r="AE17" i="15"/>
  <c r="G20" i="15"/>
  <c r="K20" i="15"/>
  <c r="O20" i="15"/>
  <c r="S20" i="15"/>
  <c r="W20" i="15"/>
  <c r="AA20" i="15"/>
  <c r="AE20" i="15"/>
  <c r="Q24" i="15"/>
  <c r="Q26" i="15" s="1"/>
  <c r="D28" i="15"/>
  <c r="H28" i="15"/>
  <c r="L28" i="15"/>
  <c r="P28" i="15"/>
  <c r="T28" i="15"/>
  <c r="X28" i="15"/>
  <c r="AB28" i="15"/>
  <c r="AF28" i="15"/>
  <c r="G16" i="15"/>
  <c r="K16" i="15"/>
  <c r="O16" i="15"/>
  <c r="S16" i="15"/>
  <c r="W16" i="15"/>
  <c r="AA16" i="15"/>
  <c r="AE16" i="15"/>
  <c r="H25" i="15"/>
  <c r="L25" i="15"/>
  <c r="P25" i="15"/>
  <c r="T25" i="15"/>
  <c r="X25" i="15"/>
  <c r="AB25" i="15"/>
  <c r="AF25" i="15"/>
  <c r="M24" i="15"/>
  <c r="M26" i="15" s="1"/>
  <c r="AC24" i="15"/>
  <c r="AC26" i="15" s="1"/>
  <c r="G28" i="15"/>
  <c r="K28" i="15"/>
  <c r="O28" i="15"/>
  <c r="S28" i="15"/>
  <c r="W28" i="15"/>
  <c r="AA28" i="15"/>
  <c r="AE28" i="15"/>
  <c r="I17" i="15"/>
  <c r="M17" i="15"/>
  <c r="Q17" i="15"/>
  <c r="U17" i="15"/>
  <c r="Y17" i="15"/>
  <c r="AC17" i="15"/>
  <c r="E20" i="15"/>
  <c r="I20" i="15"/>
  <c r="M20" i="15"/>
  <c r="Q20" i="15"/>
  <c r="U20" i="15"/>
  <c r="Y20" i="15"/>
  <c r="AC20" i="15"/>
  <c r="H24" i="15"/>
  <c r="L24" i="15"/>
  <c r="P24" i="15"/>
  <c r="T24" i="15"/>
  <c r="X24" i="15"/>
  <c r="AB24" i="15"/>
  <c r="AF24" i="15"/>
  <c r="J28" i="15"/>
  <c r="R28" i="15"/>
  <c r="Z28" i="15"/>
  <c r="AG15" i="15"/>
  <c r="AG24" i="15"/>
  <c r="AG23" i="15"/>
  <c r="E17" i="15"/>
  <c r="F20" i="15"/>
  <c r="F28" i="15"/>
  <c r="F17" i="15"/>
  <c r="J17" i="15"/>
  <c r="J20" i="15"/>
  <c r="N20" i="15"/>
  <c r="N28" i="15"/>
  <c r="N17" i="15"/>
  <c r="R17" i="15"/>
  <c r="R16" i="15"/>
  <c r="R20" i="15"/>
  <c r="V20" i="15"/>
  <c r="V28" i="15"/>
  <c r="V17" i="15"/>
  <c r="Z17" i="15"/>
  <c r="Z16" i="15"/>
  <c r="Z20" i="15"/>
  <c r="AD20" i="15"/>
  <c r="AD28" i="15"/>
  <c r="AD17" i="15"/>
  <c r="AD16" i="15"/>
  <c r="AG6" i="15"/>
  <c r="E16" i="15"/>
  <c r="E15" i="15"/>
  <c r="I16" i="15"/>
  <c r="I15" i="15"/>
  <c r="M16" i="15"/>
  <c r="M15" i="15"/>
  <c r="Q16" i="15"/>
  <c r="Q15" i="15"/>
  <c r="U16" i="15"/>
  <c r="U15" i="15"/>
  <c r="Y16" i="15"/>
  <c r="Y15" i="15"/>
  <c r="AC16" i="15"/>
  <c r="AC15" i="15"/>
  <c r="F16" i="15"/>
  <c r="G24" i="15"/>
  <c r="G23" i="15"/>
  <c r="K24" i="15"/>
  <c r="K23" i="15"/>
  <c r="O24" i="15"/>
  <c r="O23" i="15"/>
  <c r="S24" i="15"/>
  <c r="S23" i="15"/>
  <c r="W24" i="15"/>
  <c r="W23" i="15"/>
  <c r="AA24" i="15"/>
  <c r="AA23" i="15"/>
  <c r="AE24" i="15"/>
  <c r="AE23" i="15"/>
  <c r="F25" i="15"/>
  <c r="J25" i="15"/>
  <c r="N25" i="15"/>
  <c r="R25" i="15"/>
  <c r="V25" i="15"/>
  <c r="Z25" i="15"/>
  <c r="AD25" i="15"/>
  <c r="E28" i="15"/>
  <c r="D16" i="15"/>
  <c r="D15" i="15"/>
  <c r="H16" i="15"/>
  <c r="H15" i="15"/>
  <c r="L16" i="15"/>
  <c r="L18" i="15" s="1"/>
  <c r="L15" i="15"/>
  <c r="P16" i="15"/>
  <c r="P15" i="15"/>
  <c r="T16" i="15"/>
  <c r="T15" i="15"/>
  <c r="X16" i="15"/>
  <c r="X15" i="15"/>
  <c r="AB16" i="15"/>
  <c r="AB15" i="15"/>
  <c r="AF16" i="15"/>
  <c r="AF15" i="15"/>
  <c r="G25" i="15"/>
  <c r="K25" i="15"/>
  <c r="O25" i="15"/>
  <c r="S25" i="15"/>
  <c r="W25" i="15"/>
  <c r="AA25" i="15"/>
  <c r="AE25" i="15"/>
  <c r="D23" i="15"/>
  <c r="L23" i="15"/>
  <c r="T23" i="15"/>
  <c r="AB23" i="15"/>
  <c r="D24" i="15"/>
  <c r="D25" i="15"/>
  <c r="C25" i="15"/>
  <c r="C24" i="15"/>
  <c r="C28" i="15"/>
  <c r="C17" i="15"/>
  <c r="C16" i="15"/>
  <c r="F24" i="15"/>
  <c r="J24" i="15"/>
  <c r="N24" i="15"/>
  <c r="R24" i="15"/>
  <c r="V24" i="15"/>
  <c r="Z24" i="15"/>
  <c r="AD24" i="15"/>
  <c r="H23" i="15"/>
  <c r="P23" i="15"/>
  <c r="X23" i="15"/>
  <c r="AF23" i="15"/>
  <c r="AG10" i="15"/>
  <c r="G15" i="15"/>
  <c r="K15" i="15"/>
  <c r="O15" i="15"/>
  <c r="S15" i="15"/>
  <c r="W15" i="15"/>
  <c r="AA15" i="15"/>
  <c r="AE15" i="15"/>
  <c r="F23" i="15"/>
  <c r="J23" i="15"/>
  <c r="N23" i="15"/>
  <c r="R23" i="15"/>
  <c r="V23" i="15"/>
  <c r="Z23" i="15"/>
  <c r="AD23" i="15"/>
  <c r="N18" i="15" l="1"/>
  <c r="AH17" i="15"/>
  <c r="AI17" i="15" s="1"/>
  <c r="I26" i="15"/>
  <c r="U18" i="15"/>
  <c r="AB18" i="15"/>
  <c r="J18" i="15"/>
  <c r="AI20" i="15"/>
  <c r="AA18" i="15"/>
  <c r="AF18" i="15"/>
  <c r="P18" i="15"/>
  <c r="V18" i="15"/>
  <c r="AH28" i="15"/>
  <c r="AI28" i="15" s="1"/>
  <c r="AI27" i="15"/>
  <c r="AI24" i="15"/>
  <c r="AH25" i="15"/>
  <c r="AI25" i="15" s="1"/>
  <c r="AI22" i="15"/>
  <c r="AI23" i="15" s="1"/>
  <c r="AH15" i="15"/>
  <c r="AH16" i="15"/>
  <c r="AI16" i="15" s="1"/>
  <c r="AH23" i="15"/>
  <c r="X18" i="15"/>
  <c r="H18" i="15"/>
  <c r="V26" i="15"/>
  <c r="AF26" i="15"/>
  <c r="P26" i="15"/>
  <c r="F26" i="15"/>
  <c r="T18" i="15"/>
  <c r="AG18" i="15"/>
  <c r="Z26" i="15"/>
  <c r="J26" i="15"/>
  <c r="AB26" i="15"/>
  <c r="L26" i="15"/>
  <c r="K18" i="15"/>
  <c r="D18" i="15"/>
  <c r="AC18" i="15"/>
  <c r="M18" i="15"/>
  <c r="AE18" i="15"/>
  <c r="O18" i="15"/>
  <c r="W18" i="15"/>
  <c r="G18" i="15"/>
  <c r="Y26" i="15"/>
  <c r="R26" i="15"/>
  <c r="Q18" i="15"/>
  <c r="AD26" i="15"/>
  <c r="N26" i="15"/>
  <c r="T26" i="15"/>
  <c r="S18" i="15"/>
  <c r="AD18" i="15"/>
  <c r="AG26" i="15"/>
  <c r="X26" i="15"/>
  <c r="Y18" i="15"/>
  <c r="I18" i="15"/>
  <c r="AI15" i="15"/>
  <c r="AA26" i="15"/>
  <c r="S26" i="15"/>
  <c r="K26" i="15"/>
  <c r="H26" i="15"/>
  <c r="AE26" i="15"/>
  <c r="O26" i="15"/>
  <c r="W26" i="15"/>
  <c r="G26" i="15"/>
  <c r="D26" i="15"/>
  <c r="R18" i="15"/>
  <c r="C18" i="15"/>
  <c r="C26" i="15"/>
  <c r="Z18" i="15"/>
  <c r="F18" i="15"/>
  <c r="E18" i="15"/>
  <c r="AH18" i="15" l="1"/>
  <c r="AH26" i="15"/>
  <c r="AI18" i="15"/>
  <c r="AI26" i="15"/>
  <c r="L217" i="2" l="1"/>
  <c r="K6" i="17" l="1"/>
  <c r="AF6" i="17" s="1"/>
  <c r="N58" i="2" l="1"/>
  <c r="M58" i="2"/>
  <c r="G58" i="2"/>
  <c r="D214" i="2" l="1"/>
  <c r="C214" i="2"/>
  <c r="E214" i="2" l="1"/>
  <c r="H5" i="17" s="1"/>
  <c r="AC5" i="17" s="1"/>
  <c r="I7" i="2"/>
  <c r="I223" i="2" s="1"/>
  <c r="I209" i="2" l="1"/>
  <c r="P175" i="2"/>
  <c r="P173" i="2"/>
  <c r="P172" i="2"/>
  <c r="P170" i="2"/>
  <c r="P168" i="2"/>
  <c r="P166" i="2"/>
  <c r="P164" i="2"/>
  <c r="P162" i="2"/>
  <c r="L173" i="2"/>
  <c r="L166" i="2"/>
  <c r="L164" i="2"/>
  <c r="L162" i="2"/>
  <c r="P177" i="2" l="1"/>
  <c r="I104" i="2" l="1"/>
  <c r="I226" i="2" s="1"/>
  <c r="I210" i="2" l="1"/>
  <c r="I187" i="2"/>
  <c r="I229" i="2" s="1"/>
  <c r="I77" i="2" l="1"/>
  <c r="I225" i="2" s="1"/>
  <c r="I40" i="2" l="1"/>
  <c r="I224" i="2" l="1"/>
  <c r="N134" i="2"/>
  <c r="M134" i="2"/>
  <c r="L209" i="2" l="1"/>
  <c r="C6" i="17" s="1"/>
  <c r="X6" i="17" s="1"/>
  <c r="T100" i="2" l="1"/>
  <c r="H218" i="2" l="1"/>
  <c r="H216" i="2"/>
  <c r="H215" i="2"/>
  <c r="H212" i="2"/>
  <c r="H211" i="2"/>
  <c r="H210" i="2"/>
  <c r="H187" i="2"/>
  <c r="H229" i="2" s="1"/>
  <c r="H203" i="2"/>
  <c r="H230" i="2" s="1"/>
  <c r="F31" i="2" l="1"/>
  <c r="Q173" i="2" l="1"/>
  <c r="Q166" i="2"/>
  <c r="Q162" i="2"/>
  <c r="Q136" i="2"/>
  <c r="Q129" i="2"/>
  <c r="Q125" i="2"/>
  <c r="Q122" i="2"/>
  <c r="Q120" i="2"/>
  <c r="Q117" i="2"/>
  <c r="O214" i="2"/>
  <c r="Q96" i="2"/>
  <c r="O215" i="2"/>
  <c r="Q88" i="2"/>
  <c r="Q87" i="2"/>
  <c r="O216" i="2"/>
  <c r="Q56" i="2"/>
  <c r="O211" i="2"/>
  <c r="Q19" i="2"/>
  <c r="Q27" i="2"/>
  <c r="Q35" i="2"/>
  <c r="Q24" i="2"/>
  <c r="M174" i="2"/>
  <c r="M167" i="2"/>
  <c r="M166" i="2"/>
  <c r="K177" i="2"/>
  <c r="K228" i="2" s="1"/>
  <c r="M155" i="2"/>
  <c r="M150" i="2"/>
  <c r="M146" i="2"/>
  <c r="M143" i="2"/>
  <c r="M142" i="2"/>
  <c r="M135" i="2"/>
  <c r="M133" i="2"/>
  <c r="M128" i="2"/>
  <c r="M125" i="2"/>
  <c r="M124" i="2"/>
  <c r="M120" i="2"/>
  <c r="K214" i="2"/>
  <c r="M115" i="2"/>
  <c r="M111" i="2"/>
  <c r="K158" i="2"/>
  <c r="M99" i="2"/>
  <c r="M95" i="2"/>
  <c r="M91" i="2"/>
  <c r="M88" i="2"/>
  <c r="M87" i="2"/>
  <c r="K216" i="2"/>
  <c r="M74" i="2"/>
  <c r="M70" i="2"/>
  <c r="M59" i="2"/>
  <c r="M49" i="2"/>
  <c r="M46" i="2"/>
  <c r="K217" i="2"/>
  <c r="M69" i="2"/>
  <c r="M65" i="2"/>
  <c r="K212" i="2"/>
  <c r="M48" i="2"/>
  <c r="F155" i="2"/>
  <c r="F154" i="2"/>
  <c r="F138" i="2"/>
  <c r="F133" i="2"/>
  <c r="F129" i="2"/>
  <c r="F128" i="2"/>
  <c r="F125" i="2"/>
  <c r="F124" i="2"/>
  <c r="F119" i="2"/>
  <c r="F103" i="2"/>
  <c r="F97" i="2"/>
  <c r="F94" i="2"/>
  <c r="F92" i="2"/>
  <c r="F89" i="2"/>
  <c r="F88" i="2"/>
  <c r="F84" i="2"/>
  <c r="F81" i="2"/>
  <c r="F82" i="2"/>
  <c r="F100" i="2"/>
  <c r="D215" i="2"/>
  <c r="F87" i="2"/>
  <c r="F51" i="2"/>
  <c r="F60" i="2"/>
  <c r="F68" i="2"/>
  <c r="D212" i="2"/>
  <c r="G45" i="2"/>
  <c r="G51" i="2"/>
  <c r="F52" i="2"/>
  <c r="G59" i="2"/>
  <c r="G64" i="2"/>
  <c r="G71" i="2"/>
  <c r="F96" i="2"/>
  <c r="F70" i="2"/>
  <c r="F57" i="2"/>
  <c r="F49" i="2"/>
  <c r="F43" i="2"/>
  <c r="E7" i="2"/>
  <c r="E223" i="2" s="1"/>
  <c r="F28" i="2"/>
  <c r="F24" i="2"/>
  <c r="F12" i="2"/>
  <c r="C227" i="2"/>
  <c r="J227" i="2"/>
  <c r="Q170" i="2"/>
  <c r="N172" i="2"/>
  <c r="N170" i="2"/>
  <c r="N164" i="2"/>
  <c r="N162" i="2"/>
  <c r="L203" i="2"/>
  <c r="L230" i="2" s="1"/>
  <c r="M68" i="2"/>
  <c r="N61" i="2"/>
  <c r="N55" i="2"/>
  <c r="M47" i="2"/>
  <c r="P77" i="2"/>
  <c r="Q103" i="2"/>
  <c r="N103" i="2"/>
  <c r="M103" i="2"/>
  <c r="G100" i="2"/>
  <c r="Q107" i="2"/>
  <c r="P212" i="2"/>
  <c r="G107" i="2"/>
  <c r="Q34" i="2"/>
  <c r="Q28" i="2"/>
  <c r="Q21" i="2"/>
  <c r="N35" i="2"/>
  <c r="N34" i="2"/>
  <c r="N27" i="2"/>
  <c r="N19" i="2"/>
  <c r="G35" i="2"/>
  <c r="F34" i="2"/>
  <c r="F19" i="2"/>
  <c r="E40" i="2"/>
  <c r="Q97" i="2"/>
  <c r="Q92" i="2"/>
  <c r="Q89" i="2"/>
  <c r="M97" i="2"/>
  <c r="N96" i="2"/>
  <c r="N92" i="2"/>
  <c r="M89" i="2"/>
  <c r="N87" i="2"/>
  <c r="G96" i="2"/>
  <c r="G88" i="2"/>
  <c r="G10" i="2"/>
  <c r="G6" i="2"/>
  <c r="M6" i="2"/>
  <c r="M63" i="2"/>
  <c r="M66" i="2"/>
  <c r="D203" i="2"/>
  <c r="D230" i="2" s="1"/>
  <c r="G186" i="2"/>
  <c r="F185" i="2"/>
  <c r="G184" i="2"/>
  <c r="E187" i="2"/>
  <c r="G183" i="2"/>
  <c r="G182" i="2"/>
  <c r="Q186" i="2"/>
  <c r="Q185" i="2"/>
  <c r="Q184" i="2"/>
  <c r="Q183" i="2"/>
  <c r="Q182" i="2"/>
  <c r="P187" i="2"/>
  <c r="P229" i="2" s="1"/>
  <c r="Q180" i="2"/>
  <c r="N184" i="2"/>
  <c r="N183" i="2"/>
  <c r="M182" i="2"/>
  <c r="M180" i="2"/>
  <c r="P209" i="2"/>
  <c r="L215" i="2"/>
  <c r="I6" i="17" s="1"/>
  <c r="AD6" i="17" s="1"/>
  <c r="L213" i="2"/>
  <c r="E215" i="2"/>
  <c r="I5" i="17" s="1"/>
  <c r="AD5" i="17" s="1"/>
  <c r="E211" i="2"/>
  <c r="G13" i="2"/>
  <c r="G14" i="2"/>
  <c r="G23" i="2"/>
  <c r="G25" i="2"/>
  <c r="G26" i="2"/>
  <c r="N26" i="2"/>
  <c r="L214" i="2"/>
  <c r="H6" i="17" s="1"/>
  <c r="AC6" i="17" s="1"/>
  <c r="P213" i="2"/>
  <c r="P7" i="2"/>
  <c r="P223" i="2" s="1"/>
  <c r="L7" i="2"/>
  <c r="L223" i="2" s="1"/>
  <c r="E203" i="2"/>
  <c r="E230" i="2" s="1"/>
  <c r="C22" i="10" s="1"/>
  <c r="Q175" i="2"/>
  <c r="Q172" i="2"/>
  <c r="Q168" i="2"/>
  <c r="Q164" i="2"/>
  <c r="Q155" i="2"/>
  <c r="Q154" i="2"/>
  <c r="Q153" i="2"/>
  <c r="Q151" i="2"/>
  <c r="Q149" i="2"/>
  <c r="Q147" i="2"/>
  <c r="Q143" i="2"/>
  <c r="Q142" i="2"/>
  <c r="Q141" i="2"/>
  <c r="Q140" i="2"/>
  <c r="Q138" i="2"/>
  <c r="Q133" i="2"/>
  <c r="Q132" i="2"/>
  <c r="Q128" i="2"/>
  <c r="Q124" i="2"/>
  <c r="Q119" i="2"/>
  <c r="Q118" i="2"/>
  <c r="Q113" i="2"/>
  <c r="Q94" i="2"/>
  <c r="Q85" i="2"/>
  <c r="Q81" i="2"/>
  <c r="Q72" i="2"/>
  <c r="Q51" i="2"/>
  <c r="Q50" i="2"/>
  <c r="Q49" i="2"/>
  <c r="Q47" i="2"/>
  <c r="Q43" i="2"/>
  <c r="Q38" i="2"/>
  <c r="Q33" i="2"/>
  <c r="Q22" i="2"/>
  <c r="Q17" i="2"/>
  <c r="N201" i="2"/>
  <c r="N192" i="2"/>
  <c r="M192" i="2"/>
  <c r="N176" i="2"/>
  <c r="M176" i="2"/>
  <c r="N175" i="2"/>
  <c r="M175" i="2"/>
  <c r="N174" i="2"/>
  <c r="N173" i="2"/>
  <c r="M173" i="2"/>
  <c r="M172" i="2"/>
  <c r="N171" i="2"/>
  <c r="M171" i="2"/>
  <c r="N169" i="2"/>
  <c r="M169" i="2"/>
  <c r="N168" i="2"/>
  <c r="M168" i="2"/>
  <c r="N167" i="2"/>
  <c r="N166" i="2"/>
  <c r="N165" i="2"/>
  <c r="M165" i="2"/>
  <c r="M164" i="2"/>
  <c r="N163" i="2"/>
  <c r="M163" i="2"/>
  <c r="N161" i="2"/>
  <c r="M161" i="2"/>
  <c r="N157" i="2"/>
  <c r="M157" i="2"/>
  <c r="N156" i="2"/>
  <c r="M156" i="2"/>
  <c r="N155" i="2"/>
  <c r="N154" i="2"/>
  <c r="N153" i="2"/>
  <c r="N152" i="2"/>
  <c r="M152" i="2"/>
  <c r="N151" i="2"/>
  <c r="N150" i="2"/>
  <c r="N149" i="2"/>
  <c r="N148" i="2"/>
  <c r="M148" i="2"/>
  <c r="N147" i="2"/>
  <c r="M147" i="2"/>
  <c r="N146" i="2"/>
  <c r="N145" i="2"/>
  <c r="M145" i="2"/>
  <c r="N144" i="2"/>
  <c r="M144" i="2"/>
  <c r="N143" i="2"/>
  <c r="N142" i="2"/>
  <c r="N141" i="2"/>
  <c r="N140" i="2"/>
  <c r="M140" i="2"/>
  <c r="N139" i="2"/>
  <c r="N138" i="2"/>
  <c r="N137" i="2"/>
  <c r="M137" i="2"/>
  <c r="N136" i="2"/>
  <c r="N135" i="2"/>
  <c r="N133" i="2"/>
  <c r="N132" i="2"/>
  <c r="N131" i="2"/>
  <c r="M131" i="2"/>
  <c r="N129" i="2"/>
  <c r="N128" i="2"/>
  <c r="N127" i="2"/>
  <c r="M127" i="2"/>
  <c r="N126" i="2"/>
  <c r="M126" i="2"/>
  <c r="N125" i="2"/>
  <c r="N124" i="2"/>
  <c r="N123" i="2"/>
  <c r="M123" i="2"/>
  <c r="N122" i="2"/>
  <c r="N120" i="2"/>
  <c r="N119" i="2"/>
  <c r="N118" i="2"/>
  <c r="N117" i="2"/>
  <c r="N116" i="2"/>
  <c r="M116" i="2"/>
  <c r="N115" i="2"/>
  <c r="M113" i="2"/>
  <c r="N112" i="2"/>
  <c r="M112" i="2"/>
  <c r="N111" i="2"/>
  <c r="N110" i="2"/>
  <c r="N109" i="2"/>
  <c r="M109" i="2"/>
  <c r="N108" i="2"/>
  <c r="M108" i="2"/>
  <c r="N107" i="2"/>
  <c r="N101" i="2"/>
  <c r="M101" i="2"/>
  <c r="N100" i="2"/>
  <c r="N99" i="2"/>
  <c r="N98" i="2"/>
  <c r="M98" i="2"/>
  <c r="N97" i="2"/>
  <c r="N95" i="2"/>
  <c r="N94" i="2"/>
  <c r="M94" i="2"/>
  <c r="N93" i="2"/>
  <c r="M93" i="2"/>
  <c r="M92" i="2"/>
  <c r="N91" i="2"/>
  <c r="N90" i="2"/>
  <c r="M90" i="2"/>
  <c r="N88" i="2"/>
  <c r="N83" i="2"/>
  <c r="M83" i="2"/>
  <c r="N82" i="2"/>
  <c r="M82" i="2"/>
  <c r="N81" i="2"/>
  <c r="N74" i="2"/>
  <c r="N73" i="2"/>
  <c r="M73" i="2"/>
  <c r="N71" i="2"/>
  <c r="M71" i="2"/>
  <c r="N70" i="2"/>
  <c r="N69" i="2"/>
  <c r="N66" i="2"/>
  <c r="N65" i="2"/>
  <c r="N64" i="2"/>
  <c r="M64" i="2"/>
  <c r="N63" i="2"/>
  <c r="N59" i="2"/>
  <c r="N57" i="2"/>
  <c r="M57" i="2"/>
  <c r="M55" i="2"/>
  <c r="N52" i="2"/>
  <c r="N51" i="2"/>
  <c r="M51" i="2"/>
  <c r="N49" i="2"/>
  <c r="N48" i="2"/>
  <c r="N47" i="2"/>
  <c r="N46" i="2"/>
  <c r="N43" i="2"/>
  <c r="M43" i="2"/>
  <c r="N38" i="2"/>
  <c r="N33" i="2"/>
  <c r="N32" i="2"/>
  <c r="N24" i="2"/>
  <c r="N21" i="2"/>
  <c r="N20" i="2"/>
  <c r="N18" i="2"/>
  <c r="N17" i="2"/>
  <c r="N15" i="2"/>
  <c r="N10" i="2"/>
  <c r="N6" i="2"/>
  <c r="G202" i="2"/>
  <c r="G201" i="2"/>
  <c r="G200" i="2"/>
  <c r="G198" i="2"/>
  <c r="G194" i="2"/>
  <c r="G193" i="2"/>
  <c r="G192" i="2"/>
  <c r="G191" i="2"/>
  <c r="G190" i="2"/>
  <c r="G181" i="2"/>
  <c r="G171" i="2"/>
  <c r="G155" i="2"/>
  <c r="G154" i="2"/>
  <c r="G153" i="2"/>
  <c r="G151" i="2"/>
  <c r="G149" i="2"/>
  <c r="G147" i="2"/>
  <c r="G143" i="2"/>
  <c r="G142" i="2"/>
  <c r="G141" i="2"/>
  <c r="G140" i="2"/>
  <c r="G138" i="2"/>
  <c r="G136" i="2"/>
  <c r="G133" i="2"/>
  <c r="G132" i="2"/>
  <c r="G129" i="2"/>
  <c r="G128" i="2"/>
  <c r="G125" i="2"/>
  <c r="G124" i="2"/>
  <c r="G122" i="2"/>
  <c r="G120" i="2"/>
  <c r="G119" i="2"/>
  <c r="G118" i="2"/>
  <c r="G117" i="2"/>
  <c r="G116" i="2"/>
  <c r="G113" i="2"/>
  <c r="G103" i="2"/>
  <c r="G99" i="2"/>
  <c r="G98" i="2"/>
  <c r="G97" i="2"/>
  <c r="G95" i="2"/>
  <c r="G94" i="2"/>
  <c r="G93" i="2"/>
  <c r="G92" i="2"/>
  <c r="G91" i="2"/>
  <c r="G90" i="2"/>
  <c r="G89" i="2"/>
  <c r="G85" i="2"/>
  <c r="G84" i="2"/>
  <c r="G83" i="2"/>
  <c r="G82" i="2"/>
  <c r="G81" i="2"/>
  <c r="G76" i="2"/>
  <c r="G75" i="2"/>
  <c r="G74" i="2"/>
  <c r="G73" i="2"/>
  <c r="G70" i="2"/>
  <c r="G69" i="2"/>
  <c r="G68" i="2"/>
  <c r="G67" i="2"/>
  <c r="G66" i="2"/>
  <c r="G65" i="2"/>
  <c r="G63" i="2"/>
  <c r="G62" i="2"/>
  <c r="G61" i="2"/>
  <c r="G60" i="2"/>
  <c r="G57" i="2"/>
  <c r="G56" i="2"/>
  <c r="G55" i="2"/>
  <c r="G54" i="2"/>
  <c r="G53" i="2"/>
  <c r="G52" i="2"/>
  <c r="G49" i="2"/>
  <c r="G48" i="2"/>
  <c r="G47" i="2"/>
  <c r="G46" i="2"/>
  <c r="G44" i="2"/>
  <c r="G43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201" i="2"/>
  <c r="F192" i="2"/>
  <c r="F153" i="2"/>
  <c r="F151" i="2"/>
  <c r="F149" i="2"/>
  <c r="F143" i="2"/>
  <c r="F142" i="2"/>
  <c r="F141" i="2"/>
  <c r="F136" i="2"/>
  <c r="F132" i="2"/>
  <c r="F117" i="2"/>
  <c r="F85" i="2"/>
  <c r="F71" i="2"/>
  <c r="F67" i="2"/>
  <c r="F65" i="2"/>
  <c r="F61" i="2"/>
  <c r="F56" i="2"/>
  <c r="F55" i="2"/>
  <c r="F38" i="2"/>
  <c r="F35" i="2"/>
  <c r="F33" i="2"/>
  <c r="F22" i="2"/>
  <c r="F21" i="2"/>
  <c r="F18" i="2"/>
  <c r="F17" i="2"/>
  <c r="A177" i="2"/>
  <c r="A228" i="2" s="1"/>
  <c r="C8" i="10" s="1"/>
  <c r="A227" i="2"/>
  <c r="J177" i="2"/>
  <c r="C228" i="2"/>
  <c r="B20" i="10" s="1"/>
  <c r="M154" i="2"/>
  <c r="M153" i="2"/>
  <c r="M151" i="2"/>
  <c r="M149" i="2"/>
  <c r="M141" i="2"/>
  <c r="M138" i="2"/>
  <c r="M136" i="2"/>
  <c r="M132" i="2"/>
  <c r="M129" i="2"/>
  <c r="M122" i="2"/>
  <c r="F122" i="2"/>
  <c r="F120" i="2"/>
  <c r="M119" i="2"/>
  <c r="M118" i="2"/>
  <c r="F118" i="2"/>
  <c r="M117" i="2"/>
  <c r="M81" i="2"/>
  <c r="A187" i="2"/>
  <c r="A229" i="2" s="1"/>
  <c r="C9" i="10" s="1"/>
  <c r="A226" i="2"/>
  <c r="C6" i="10" s="1"/>
  <c r="A225" i="2"/>
  <c r="C5" i="10" s="1"/>
  <c r="C226" i="2"/>
  <c r="B18" i="10" s="1"/>
  <c r="J225" i="2"/>
  <c r="C29" i="10" s="1"/>
  <c r="C225" i="2"/>
  <c r="B17" i="10" s="1"/>
  <c r="C217" i="2"/>
  <c r="A214" i="2"/>
  <c r="H4" i="17" s="1"/>
  <c r="AC4" i="17" s="1"/>
  <c r="C3" i="10"/>
  <c r="B3" i="10"/>
  <c r="K7" i="2"/>
  <c r="K223" i="2" s="1"/>
  <c r="O218" i="2"/>
  <c r="O212" i="2"/>
  <c r="O210" i="2"/>
  <c r="K218" i="2"/>
  <c r="K209" i="2"/>
  <c r="O203" i="2"/>
  <c r="K203" i="2"/>
  <c r="K230" i="2" s="1"/>
  <c r="O187" i="2"/>
  <c r="O229" i="2" s="1"/>
  <c r="K187" i="2"/>
  <c r="K229" i="2" s="1"/>
  <c r="J40" i="2"/>
  <c r="J7" i="2"/>
  <c r="C7" i="2"/>
  <c r="R230" i="2"/>
  <c r="B10" i="10" s="1"/>
  <c r="R229" i="2"/>
  <c r="B9" i="10" s="1"/>
  <c r="R228" i="2"/>
  <c r="B8" i="10" s="1"/>
  <c r="R227" i="2"/>
  <c r="R226" i="2"/>
  <c r="B6" i="10" s="1"/>
  <c r="R225" i="2"/>
  <c r="B5" i="10" s="1"/>
  <c r="R224" i="2"/>
  <c r="B4" i="10" s="1"/>
  <c r="A203" i="2"/>
  <c r="A230" i="2" s="1"/>
  <c r="C10" i="10" s="1"/>
  <c r="J203" i="2"/>
  <c r="J230" i="2" s="1"/>
  <c r="C34" i="10" s="1"/>
  <c r="C203" i="2"/>
  <c r="C230" i="2" s="1"/>
  <c r="B22" i="10" s="1"/>
  <c r="A40" i="2"/>
  <c r="C40" i="2"/>
  <c r="C224" i="2" s="1"/>
  <c r="B16" i="10" s="1"/>
  <c r="C213" i="2"/>
  <c r="C210" i="2"/>
  <c r="J213" i="2"/>
  <c r="J210" i="2"/>
  <c r="A218" i="2"/>
  <c r="L4" i="17" s="1"/>
  <c r="AG4" i="17" s="1"/>
  <c r="A217" i="2"/>
  <c r="K4" i="17" s="1"/>
  <c r="AF4" i="17" s="1"/>
  <c r="A216" i="2"/>
  <c r="J4" i="17" s="1"/>
  <c r="AE4" i="17" s="1"/>
  <c r="A215" i="2"/>
  <c r="A213" i="2"/>
  <c r="G4" i="17" s="1"/>
  <c r="AB4" i="17" s="1"/>
  <c r="A212" i="2"/>
  <c r="F4" i="17" s="1"/>
  <c r="AA4" i="17" s="1"/>
  <c r="A211" i="2"/>
  <c r="E4" i="17" s="1"/>
  <c r="Z4" i="17" s="1"/>
  <c r="A210" i="2"/>
  <c r="A209" i="2"/>
  <c r="J215" i="2"/>
  <c r="J214" i="2"/>
  <c r="C212" i="2"/>
  <c r="J218" i="2"/>
  <c r="C218" i="2"/>
  <c r="J211" i="2"/>
  <c r="C211" i="2"/>
  <c r="J216" i="2"/>
  <c r="C209" i="2"/>
  <c r="J209" i="2"/>
  <c r="J212" i="2"/>
  <c r="C215" i="2"/>
  <c r="C216" i="2"/>
  <c r="J187" i="2"/>
  <c r="J229" i="2" s="1"/>
  <c r="C33" i="10" s="1"/>
  <c r="C187" i="2"/>
  <c r="J226" i="2"/>
  <c r="C30" i="10" s="1"/>
  <c r="A7" i="2"/>
  <c r="R223" i="2" s="1"/>
  <c r="N182" i="2"/>
  <c r="M183" i="2"/>
  <c r="Q18" i="2"/>
  <c r="F107" i="2"/>
  <c r="N56" i="2"/>
  <c r="E216" i="2"/>
  <c r="J5" i="17" s="1"/>
  <c r="AE5" i="17" s="1"/>
  <c r="G87" i="2"/>
  <c r="L211" i="2"/>
  <c r="E6" i="17" s="1"/>
  <c r="Z6" i="17" s="1"/>
  <c r="G72" i="2"/>
  <c r="E212" i="2"/>
  <c r="F5" i="17" s="1"/>
  <c r="AA5" i="17" s="1"/>
  <c r="F72" i="2"/>
  <c r="M100" i="2"/>
  <c r="L224" i="2"/>
  <c r="E218" i="2"/>
  <c r="E226" i="2"/>
  <c r="Q82" i="2"/>
  <c r="F27" i="2"/>
  <c r="G27" i="2"/>
  <c r="N22" i="2"/>
  <c r="M170" i="2"/>
  <c r="L177" i="2"/>
  <c r="L228" i="2" s="1"/>
  <c r="D32" i="10" s="1"/>
  <c r="M184" i="2"/>
  <c r="N180" i="2"/>
  <c r="M185" i="2"/>
  <c r="N185" i="2"/>
  <c r="N186" i="2"/>
  <c r="M186" i="2"/>
  <c r="L187" i="2"/>
  <c r="F186" i="2"/>
  <c r="F180" i="2"/>
  <c r="G180" i="2"/>
  <c r="F182" i="2"/>
  <c r="G185" i="2"/>
  <c r="F183" i="2"/>
  <c r="P210" i="2"/>
  <c r="F184" i="2"/>
  <c r="D187" i="2"/>
  <c r="D229" i="2" s="1"/>
  <c r="O209" i="2"/>
  <c r="Q116" i="2"/>
  <c r="Q84" i="2"/>
  <c r="O217" i="2"/>
  <c r="M162" i="2"/>
  <c r="K215" i="2"/>
  <c r="M52" i="2"/>
  <c r="M56" i="2"/>
  <c r="K213" i="2"/>
  <c r="P218" i="2"/>
  <c r="Q100" i="2"/>
  <c r="Q95" i="2"/>
  <c r="P215" i="2"/>
  <c r="N45" i="2"/>
  <c r="M45" i="2"/>
  <c r="M60" i="2"/>
  <c r="N60" i="2"/>
  <c r="N67" i="2"/>
  <c r="M67" i="2"/>
  <c r="N75" i="2"/>
  <c r="M75" i="2"/>
  <c r="P217" i="2"/>
  <c r="Q45" i="2"/>
  <c r="P226" i="2"/>
  <c r="P216" i="2"/>
  <c r="M72" i="2"/>
  <c r="L212" i="2"/>
  <c r="F6" i="17" s="1"/>
  <c r="AA6" i="17" s="1"/>
  <c r="L218" i="2"/>
  <c r="M85" i="2"/>
  <c r="N72" i="2"/>
  <c r="P203" i="2"/>
  <c r="N84" i="2"/>
  <c r="L216" i="2"/>
  <c r="J6" i="17" s="1"/>
  <c r="AE6" i="17" s="1"/>
  <c r="M84" i="2"/>
  <c r="N28" i="2"/>
  <c r="P40" i="2"/>
  <c r="Q12" i="2"/>
  <c r="M107" i="2"/>
  <c r="L158" i="2"/>
  <c r="P158" i="2"/>
  <c r="M61" i="2"/>
  <c r="N68" i="2"/>
  <c r="N85" i="2"/>
  <c r="N89" i="2"/>
  <c r="M96" i="2"/>
  <c r="N12" i="2"/>
  <c r="F95" i="2"/>
  <c r="F47" i="2"/>
  <c r="F59" i="2"/>
  <c r="F64" i="2"/>
  <c r="D216" i="2"/>
  <c r="D218" i="2"/>
  <c r="F45" i="2"/>
  <c r="D211" i="2"/>
  <c r="D210" i="2"/>
  <c r="F50" i="2"/>
  <c r="E210" i="2"/>
  <c r="G50" i="2"/>
  <c r="F173" i="2"/>
  <c r="F175" i="2"/>
  <c r="F162" i="2"/>
  <c r="G164" i="2"/>
  <c r="F168" i="2"/>
  <c r="F172" i="2"/>
  <c r="G172" i="2"/>
  <c r="D209" i="2"/>
  <c r="G175" i="2"/>
  <c r="G173" i="2"/>
  <c r="G166" i="2"/>
  <c r="E209" i="2"/>
  <c r="G162" i="2"/>
  <c r="G168" i="2"/>
  <c r="F170" i="2"/>
  <c r="F166" i="2"/>
  <c r="F164" i="2"/>
  <c r="G170" i="2"/>
  <c r="K210" i="2"/>
  <c r="N50" i="2"/>
  <c r="M50" i="2"/>
  <c r="L210" i="2"/>
  <c r="D6" i="17" s="1"/>
  <c r="Y6" i="17" s="1"/>
  <c r="A219" i="2" l="1"/>
  <c r="U217" i="2"/>
  <c r="J224" i="2"/>
  <c r="C28" i="10" s="1"/>
  <c r="J205" i="2"/>
  <c r="K227" i="2"/>
  <c r="K205" i="2"/>
  <c r="L5" i="17"/>
  <c r="AG5" i="17" s="1"/>
  <c r="E5" i="17"/>
  <c r="Z5" i="17" s="1"/>
  <c r="L229" i="2"/>
  <c r="D33" i="10" s="1"/>
  <c r="B33" i="10" s="1"/>
  <c r="L205" i="2"/>
  <c r="E224" i="2"/>
  <c r="C16" i="10" s="1"/>
  <c r="P205" i="2"/>
  <c r="L6" i="17"/>
  <c r="AG6" i="17" s="1"/>
  <c r="G6" i="17"/>
  <c r="AB6" i="17" s="1"/>
  <c r="U218" i="2"/>
  <c r="G217" i="2"/>
  <c r="Q217" i="2"/>
  <c r="C5" i="17"/>
  <c r="X5" i="17" s="1"/>
  <c r="D5" i="17"/>
  <c r="Y5" i="17" s="1"/>
  <c r="C4" i="17"/>
  <c r="X4" i="17" s="1"/>
  <c r="D4" i="17"/>
  <c r="Y4" i="17" s="1"/>
  <c r="I4" i="17"/>
  <c r="AD4" i="17" s="1"/>
  <c r="A205" i="2"/>
  <c r="A224" i="2"/>
  <c r="C4" i="10" s="1"/>
  <c r="A223" i="2"/>
  <c r="B7" i="10"/>
  <c r="B11" i="10" s="1"/>
  <c r="G187" i="2"/>
  <c r="Q212" i="2"/>
  <c r="Q210" i="2"/>
  <c r="M214" i="2"/>
  <c r="C229" i="2"/>
  <c r="B21" i="10" s="1"/>
  <c r="Q215" i="2"/>
  <c r="N230" i="2"/>
  <c r="M158" i="2"/>
  <c r="G77" i="2"/>
  <c r="M209" i="2"/>
  <c r="N203" i="2"/>
  <c r="K219" i="2"/>
  <c r="F203" i="2"/>
  <c r="N209" i="2"/>
  <c r="M104" i="2"/>
  <c r="F230" i="2"/>
  <c r="G203" i="2"/>
  <c r="Q203" i="2"/>
  <c r="F215" i="2"/>
  <c r="N213" i="2"/>
  <c r="G230" i="2"/>
  <c r="N187" i="2"/>
  <c r="Q218" i="2"/>
  <c r="F216" i="2"/>
  <c r="G216" i="2"/>
  <c r="N214" i="2"/>
  <c r="P219" i="2"/>
  <c r="Q216" i="2"/>
  <c r="P227" i="2"/>
  <c r="N40" i="2"/>
  <c r="M40" i="2"/>
  <c r="N217" i="2"/>
  <c r="N216" i="2"/>
  <c r="M217" i="2"/>
  <c r="M211" i="2"/>
  <c r="N210" i="2"/>
  <c r="M210" i="2"/>
  <c r="M215" i="2"/>
  <c r="N212" i="2"/>
  <c r="N211" i="2"/>
  <c r="M224" i="2"/>
  <c r="D28" i="10"/>
  <c r="B28" i="10" s="1"/>
  <c r="C18" i="10"/>
  <c r="Q229" i="2"/>
  <c r="M218" i="2"/>
  <c r="E225" i="2"/>
  <c r="C17" i="10" s="1"/>
  <c r="D34" i="10"/>
  <c r="B34" i="10" s="1"/>
  <c r="M187" i="2"/>
  <c r="Q209" i="2"/>
  <c r="F214" i="2"/>
  <c r="M228" i="2"/>
  <c r="G211" i="2"/>
  <c r="G40" i="2"/>
  <c r="P230" i="2"/>
  <c r="M213" i="2"/>
  <c r="N218" i="2"/>
  <c r="N215" i="2"/>
  <c r="Q214" i="2"/>
  <c r="G212" i="2"/>
  <c r="G209" i="2"/>
  <c r="G224" i="2"/>
  <c r="F217" i="2"/>
  <c r="F212" i="2"/>
  <c r="G210" i="2"/>
  <c r="F210" i="2"/>
  <c r="F209" i="2"/>
  <c r="G215" i="2"/>
  <c r="G214" i="2"/>
  <c r="M230" i="2"/>
  <c r="M203" i="2"/>
  <c r="P228" i="2"/>
  <c r="F211" i="2"/>
  <c r="C205" i="2"/>
  <c r="G226" i="2"/>
  <c r="N77" i="2"/>
  <c r="Q211" i="2"/>
  <c r="M212" i="2"/>
  <c r="G104" i="2"/>
  <c r="R231" i="2"/>
  <c r="O230" i="2"/>
  <c r="N158" i="2"/>
  <c r="L227" i="2"/>
  <c r="N104" i="2"/>
  <c r="L226" i="2"/>
  <c r="F218" i="2"/>
  <c r="C223" i="2"/>
  <c r="G7" i="2"/>
  <c r="J228" i="2"/>
  <c r="N177" i="2"/>
  <c r="Q187" i="2"/>
  <c r="F187" i="2"/>
  <c r="M177" i="2"/>
  <c r="M216" i="2"/>
  <c r="L225" i="2"/>
  <c r="L219" i="2"/>
  <c r="G218" i="2"/>
  <c r="P224" i="2"/>
  <c r="E229" i="2"/>
  <c r="N7" i="2"/>
  <c r="J223" i="2"/>
  <c r="M7" i="2"/>
  <c r="P225" i="2"/>
  <c r="A231" i="2" l="1"/>
  <c r="M4" i="17" s="1"/>
  <c r="M6" i="17"/>
  <c r="N224" i="2"/>
  <c r="M229" i="2"/>
  <c r="N229" i="2"/>
  <c r="C7" i="10"/>
  <c r="C11" i="10" s="1"/>
  <c r="H209" i="2"/>
  <c r="K231" i="2"/>
  <c r="G225" i="2"/>
  <c r="N223" i="2"/>
  <c r="J231" i="2"/>
  <c r="J219" i="2" s="1"/>
  <c r="N219" i="2" s="1"/>
  <c r="N205" i="2"/>
  <c r="M205" i="2"/>
  <c r="Q230" i="2"/>
  <c r="P231" i="2"/>
  <c r="M219" i="2"/>
  <c r="C32" i="10"/>
  <c r="B32" i="10" s="1"/>
  <c r="N228" i="2"/>
  <c r="D31" i="10"/>
  <c r="N227" i="2"/>
  <c r="M227" i="2"/>
  <c r="M225" i="2"/>
  <c r="L231" i="2"/>
  <c r="N225" i="2"/>
  <c r="D29" i="10"/>
  <c r="G223" i="2"/>
  <c r="C231" i="2"/>
  <c r="C219" i="2" s="1"/>
  <c r="N226" i="2"/>
  <c r="M226" i="2"/>
  <c r="D30" i="10"/>
  <c r="B30" i="10" s="1"/>
  <c r="B19" i="10"/>
  <c r="B23" i="10" s="1"/>
  <c r="C31" i="10"/>
  <c r="F229" i="2"/>
  <c r="C21" i="10"/>
  <c r="G229" i="2"/>
  <c r="M223" i="2"/>
  <c r="AG4" i="13" l="1"/>
  <c r="F2" i="14" s="1"/>
  <c r="E5" i="14" s="1"/>
  <c r="AH4" i="17"/>
  <c r="AG6" i="13"/>
  <c r="E52" i="14" s="1"/>
  <c r="E57" i="14" s="1"/>
  <c r="AH6" i="17"/>
  <c r="N6" i="17"/>
  <c r="O6" i="17" s="1"/>
  <c r="B31" i="10"/>
  <c r="C35" i="10"/>
  <c r="N231" i="2"/>
  <c r="M231" i="2"/>
  <c r="D35" i="10"/>
  <c r="E35" i="10" s="1"/>
  <c r="B29" i="10"/>
  <c r="B35" i="10" l="1"/>
  <c r="D36" i="10"/>
  <c r="D37" i="10" s="1"/>
  <c r="Q176" i="2" l="1"/>
  <c r="Q174" i="2"/>
  <c r="Q171" i="2"/>
  <c r="Q169" i="2"/>
  <c r="Q167" i="2"/>
  <c r="Q165" i="2"/>
  <c r="Q163" i="2"/>
  <c r="Q157" i="2"/>
  <c r="Q156" i="2"/>
  <c r="Q152" i="2"/>
  <c r="Q150" i="2"/>
  <c r="Q148" i="2"/>
  <c r="Q146" i="2"/>
  <c r="Q145" i="2"/>
  <c r="Q144" i="2"/>
  <c r="Q137" i="2"/>
  <c r="Q135" i="2"/>
  <c r="Q134" i="2"/>
  <c r="Q131" i="2"/>
  <c r="Q127" i="2"/>
  <c r="Q126" i="2"/>
  <c r="Q123" i="2"/>
  <c r="Q115" i="2"/>
  <c r="Q112" i="2"/>
  <c r="Q111" i="2"/>
  <c r="Q110" i="2"/>
  <c r="Q109" i="2"/>
  <c r="Q101" i="2"/>
  <c r="Q99" i="2"/>
  <c r="Q98" i="2"/>
  <c r="Q93" i="2"/>
  <c r="Q91" i="2"/>
  <c r="Q90" i="2"/>
  <c r="Q83" i="2"/>
  <c r="Q74" i="2"/>
  <c r="Q73" i="2"/>
  <c r="Q69" i="2"/>
  <c r="Q66" i="2"/>
  <c r="Q63" i="2"/>
  <c r="Q58" i="2"/>
  <c r="Q48" i="2"/>
  <c r="Q32" i="2"/>
  <c r="Q20" i="2"/>
  <c r="Q15" i="2"/>
  <c r="W176" i="2"/>
  <c r="W174" i="2"/>
  <c r="W169" i="2"/>
  <c r="W167" i="2"/>
  <c r="W163" i="2"/>
  <c r="W157" i="2"/>
  <c r="W156" i="2"/>
  <c r="W150" i="2"/>
  <c r="W148" i="2"/>
  <c r="W146" i="2"/>
  <c r="W145" i="2"/>
  <c r="W144" i="2"/>
  <c r="W139" i="2"/>
  <c r="W137" i="2"/>
  <c r="W135" i="2"/>
  <c r="W134" i="2"/>
  <c r="W131" i="2"/>
  <c r="W127" i="2"/>
  <c r="W126" i="2"/>
  <c r="W123" i="2"/>
  <c r="W115" i="2"/>
  <c r="W112" i="2"/>
  <c r="W111" i="2"/>
  <c r="W110" i="2"/>
  <c r="W109" i="2"/>
  <c r="W108" i="2"/>
  <c r="F171" i="2"/>
  <c r="G152" i="2"/>
  <c r="F101" i="2"/>
  <c r="F99" i="2"/>
  <c r="F98" i="2"/>
  <c r="F93" i="2"/>
  <c r="F91" i="2"/>
  <c r="F90" i="2"/>
  <c r="F74" i="2"/>
  <c r="F73" i="2"/>
  <c r="F69" i="2"/>
  <c r="F66" i="2"/>
  <c r="F63" i="2"/>
  <c r="F58" i="2"/>
  <c r="F48" i="2"/>
  <c r="F32" i="2"/>
  <c r="F20" i="2"/>
  <c r="F15" i="2"/>
  <c r="D77" i="2" l="1"/>
  <c r="F83" i="2"/>
  <c r="D104" i="2"/>
  <c r="F108" i="2"/>
  <c r="D158" i="2"/>
  <c r="F161" i="2"/>
  <c r="D177" i="2"/>
  <c r="I177" i="2"/>
  <c r="I228" i="2" s="1"/>
  <c r="G109" i="2"/>
  <c r="G111" i="2"/>
  <c r="G115" i="2"/>
  <c r="G126" i="2"/>
  <c r="G131" i="2"/>
  <c r="G135" i="2"/>
  <c r="G139" i="2"/>
  <c r="G145" i="2"/>
  <c r="G148" i="2"/>
  <c r="G157" i="2"/>
  <c r="G163" i="2"/>
  <c r="G167" i="2"/>
  <c r="G176" i="2"/>
  <c r="I213" i="2"/>
  <c r="G108" i="2"/>
  <c r="G110" i="2"/>
  <c r="G112" i="2"/>
  <c r="G123" i="2"/>
  <c r="G127" i="2"/>
  <c r="G134" i="2"/>
  <c r="G137" i="2"/>
  <c r="G144" i="2"/>
  <c r="G146" i="2"/>
  <c r="G150" i="2"/>
  <c r="G156" i="2"/>
  <c r="G161" i="2"/>
  <c r="G165" i="2"/>
  <c r="G169" i="2"/>
  <c r="G174" i="2"/>
  <c r="H77" i="2"/>
  <c r="H225" i="2" s="1"/>
  <c r="Q46" i="2"/>
  <c r="O77" i="2"/>
  <c r="O40" i="2"/>
  <c r="Q10" i="2"/>
  <c r="Q108" i="2"/>
  <c r="O158" i="2"/>
  <c r="Q161" i="2"/>
  <c r="O177" i="2"/>
  <c r="H40" i="2"/>
  <c r="H104" i="2"/>
  <c r="H226" i="2" s="1"/>
  <c r="H177" i="2"/>
  <c r="H228" i="2" s="1"/>
  <c r="F46" i="2"/>
  <c r="D40" i="2"/>
  <c r="F10" i="2"/>
  <c r="O213" i="2"/>
  <c r="O7" i="2"/>
  <c r="Q6" i="2"/>
  <c r="H213" i="2"/>
  <c r="H7" i="2"/>
  <c r="F6" i="2"/>
  <c r="D213" i="2"/>
  <c r="D7" i="2"/>
  <c r="O205" i="2" l="1"/>
  <c r="Q205" i="2" s="1"/>
  <c r="E177" i="2"/>
  <c r="F177" i="2" s="1"/>
  <c r="H224" i="2"/>
  <c r="D205" i="2"/>
  <c r="F112" i="2"/>
  <c r="W213" i="2"/>
  <c r="F146" i="2"/>
  <c r="F156" i="2"/>
  <c r="F127" i="2"/>
  <c r="F137" i="2"/>
  <c r="F150" i="2"/>
  <c r="F144" i="2"/>
  <c r="F134" i="2"/>
  <c r="F123" i="2"/>
  <c r="F110" i="2"/>
  <c r="F174" i="2"/>
  <c r="F169" i="2"/>
  <c r="F165" i="2"/>
  <c r="E213" i="2"/>
  <c r="F176" i="2"/>
  <c r="F167" i="2"/>
  <c r="F163" i="2"/>
  <c r="F157" i="2"/>
  <c r="F148" i="2"/>
  <c r="F145" i="2"/>
  <c r="F139" i="2"/>
  <c r="F135" i="2"/>
  <c r="F131" i="2"/>
  <c r="F126" i="2"/>
  <c r="F115" i="2"/>
  <c r="F111" i="2"/>
  <c r="F109" i="2"/>
  <c r="O228" i="2"/>
  <c r="Q228" i="2" s="1"/>
  <c r="Q177" i="2"/>
  <c r="O227" i="2"/>
  <c r="Q227" i="2" s="1"/>
  <c r="Q158" i="2"/>
  <c r="O225" i="2"/>
  <c r="Q225" i="2" s="1"/>
  <c r="Q77" i="2"/>
  <c r="O224" i="2"/>
  <c r="Q224" i="2" s="1"/>
  <c r="Q40" i="2"/>
  <c r="O226" i="2"/>
  <c r="Q226" i="2" s="1"/>
  <c r="Q104" i="2"/>
  <c r="D224" i="2"/>
  <c r="F224" i="2" s="1"/>
  <c r="F40" i="2"/>
  <c r="D226" i="2"/>
  <c r="F226" i="2" s="1"/>
  <c r="F104" i="2"/>
  <c r="F77" i="2"/>
  <c r="D225" i="2"/>
  <c r="F225" i="2" s="1"/>
  <c r="D228" i="2"/>
  <c r="D227" i="2"/>
  <c r="Q213" i="2"/>
  <c r="O219" i="2"/>
  <c r="Q219" i="2" s="1"/>
  <c r="O223" i="2"/>
  <c r="Q7" i="2"/>
  <c r="H223" i="2"/>
  <c r="D223" i="2"/>
  <c r="F7" i="2"/>
  <c r="E205" i="2" l="1"/>
  <c r="G205" i="2" s="1"/>
  <c r="G5" i="17"/>
  <c r="AB5" i="17" s="1"/>
  <c r="F158" i="2"/>
  <c r="G158" i="2"/>
  <c r="E227" i="2"/>
  <c r="E228" i="2"/>
  <c r="G177" i="2"/>
  <c r="G213" i="2"/>
  <c r="F213" i="2"/>
  <c r="Q223" i="2"/>
  <c r="O231" i="2"/>
  <c r="Q231" i="2" s="1"/>
  <c r="F223" i="2"/>
  <c r="D231" i="2"/>
  <c r="C19" i="10" l="1"/>
  <c r="G227" i="2"/>
  <c r="E231" i="2"/>
  <c r="N5" i="22" s="1"/>
  <c r="F227" i="2"/>
  <c r="C20" i="10"/>
  <c r="G228" i="2"/>
  <c r="F228" i="2"/>
  <c r="F205" i="2"/>
  <c r="D219" i="2"/>
  <c r="F231" i="2" l="1"/>
  <c r="M5" i="17"/>
  <c r="G231" i="2"/>
  <c r="E219" i="2"/>
  <c r="G219" i="2" s="1"/>
  <c r="C23" i="10"/>
  <c r="C24" i="10" s="1"/>
  <c r="N5" i="17" l="1"/>
  <c r="AH5" i="17"/>
  <c r="AG5" i="13"/>
  <c r="E27" i="14" s="1"/>
  <c r="E31" i="14" s="1"/>
  <c r="F219" i="2"/>
  <c r="H214" i="2"/>
  <c r="H219" i="2" s="1"/>
  <c r="H158" i="2"/>
  <c r="H205" i="2" s="1"/>
  <c r="H227" i="2" l="1"/>
  <c r="H231" i="2" s="1"/>
  <c r="I158" i="2" l="1"/>
  <c r="I205" i="2" s="1"/>
  <c r="I214" i="2"/>
  <c r="I219" i="2" s="1"/>
  <c r="I227" i="2" l="1"/>
  <c r="I231" i="2" s="1"/>
  <c r="F26" i="2"/>
  <c r="F114" i="2"/>
  <c r="F102" i="2"/>
</calcChain>
</file>

<file path=xl/sharedStrings.xml><?xml version="1.0" encoding="utf-8"?>
<sst xmlns="http://schemas.openxmlformats.org/spreadsheetml/2006/main" count="786" uniqueCount="328">
  <si>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</si>
  <si>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</si>
  <si>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</si>
  <si>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</si>
  <si>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</si>
  <si>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</si>
  <si>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</si>
  <si>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</si>
  <si>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</si>
  <si>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</si>
  <si>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</si>
  <si>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</si>
  <si>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</si>
  <si>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</si>
  <si>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</si>
  <si>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</si>
  <si>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</si>
  <si>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</si>
  <si>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</si>
  <si>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</si>
  <si>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</si>
  <si>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</si>
  <si>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</si>
  <si>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</si>
  <si>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</si>
  <si>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</si>
  <si>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</si>
  <si>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</si>
  <si>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</si>
  <si>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</si>
  <si>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</si>
  <si>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</si>
  <si>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</si>
  <si>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</si>
  <si>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</si>
  <si>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</si>
  <si>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</si>
  <si>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</si>
  <si>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</si>
  <si>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</si>
  <si>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</si>
  <si>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</si>
  <si>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</si>
  <si>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</si>
  <si>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</si>
  <si>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</si>
  <si>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</si>
  <si>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</si>
  <si>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</si>
  <si>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</si>
  <si>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</si>
  <si>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</si>
  <si>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</si>
  <si>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</si>
  <si>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</si>
  <si>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</si>
  <si>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</si>
  <si>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</si>
  <si>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</si>
  <si>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</si>
  <si>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</si>
  <si>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</si>
  <si>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</si>
  <si>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</si>
  <si>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</si>
  <si>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</si>
  <si>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</si>
  <si>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</si>
  <si>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</si>
  <si>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</si>
  <si>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</si>
  <si>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</si>
  <si>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</si>
  <si>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</si>
  <si>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</si>
  <si>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</si>
  <si>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</si>
  <si>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</si>
  <si>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</si>
  <si>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</si>
  <si>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</si>
  <si>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</si>
  <si>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</si>
  <si>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</si>
  <si>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</si>
  <si>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</si>
  <si>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</si>
  <si>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</si>
  <si>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</si>
  <si>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</si>
  <si>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</si>
  <si>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</si>
  <si>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</si>
  <si>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</si>
  <si>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</si>
  <si>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</si>
  <si>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</si>
  <si>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</si>
  <si>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</si>
  <si>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</si>
  <si>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</si>
  <si>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</si>
  <si>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</si>
  <si>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</si>
  <si>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</si>
  <si>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</si>
  <si>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</si>
  <si>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</si>
  <si>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</si>
  <si>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</si>
  <si>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</si>
  <si>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</si>
  <si>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</si>
  <si>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</si>
  <si>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</si>
  <si>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</si>
  <si>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</si>
  <si>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</si>
  <si>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</si>
  <si>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</si>
  <si>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</si>
  <si>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</si>
  <si>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</si>
  <si>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</si>
  <si>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</si>
  <si>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</si>
  <si>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</si>
  <si>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</si>
  <si>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</si>
  <si>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</si>
  <si>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</si>
  <si>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</si>
  <si>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</si>
  <si>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</si>
  <si>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</si>
  <si>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</si>
  <si>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</si>
  <si>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</si>
  <si>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</si>
  <si>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</si>
  <si>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</si>
  <si>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</si>
  <si>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</si>
  <si>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</si>
  <si>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</si>
  <si>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</si>
  <si>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</si>
  <si>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</si>
  <si>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</si>
  <si>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</si>
  <si>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</si>
  <si>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</si>
  <si>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</si>
  <si>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</si>
  <si>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</si>
  <si>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</si>
  <si>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</si>
  <si>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</si>
  <si>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</si>
  <si>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</si>
  <si>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</si>
  <si>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</si>
  <si>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</si>
  <si>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</si>
  <si>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</si>
  <si>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</si>
  <si>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</si>
  <si>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</si>
  <si>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</si>
  <si>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</si>
  <si>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</si>
  <si>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</si>
  <si>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</si>
  <si>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</si>
  <si>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</si>
  <si>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</si>
  <si>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</si>
  <si>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</si>
  <si>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</si>
  <si>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</si>
  <si>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</si>
  <si>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</si>
  <si>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</si>
  <si>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</si>
  <si>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</si>
  <si>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</si>
  <si>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</si>
  <si>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</si>
  <si>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</si>
  <si>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</si>
  <si>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</si>
  <si>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</si>
  <si>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</si>
  <si>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</si>
  <si>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</si>
  <si>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</si>
  <si>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</si>
  <si>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</si>
  <si>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</si>
  <si>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</si>
  <si>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</si>
  <si>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</si>
  <si>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</si>
  <si>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</si>
  <si>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</si>
  <si>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</si>
  <si>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</si>
  <si>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</si>
  <si>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</si>
  <si>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</si>
  <si>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</si>
  <si>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</si>
  <si>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</si>
  <si>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</si>
  <si>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</si>
  <si>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</si>
  <si>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</si>
  <si>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</si>
  <si>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</si>
  <si>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</si>
  <si>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</si>
  <si>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</si>
  <si>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</si>
  <si>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</si>
  <si>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</si>
  <si>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</si>
  <si>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</si>
  <si>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</si>
  <si>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</si>
  <si>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</si>
  <si>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</si>
  <si>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</si>
  <si>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</si>
  <si>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</si>
  <si>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</si>
  <si>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</si>
  <si>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</si>
  <si>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</si>
  <si>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</si>
  <si>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</si>
  <si>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</si>
  <si>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</si>
  <si>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</si>
  <si>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</si>
  <si>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</si>
  <si>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</si>
  <si>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</si>
  <si>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</si>
  <si>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</si>
  <si>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</si>
  <si>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</si>
  <si>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</si>
  <si>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</si>
  <si>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</si>
  <si>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</si>
  <si>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</si>
  <si>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</si>
  <si>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</si>
  <si>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</si>
  <si>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</si>
  <si>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</si>
  <si>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</si>
  <si>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</si>
  <si>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</si>
  <si>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</si>
  <si>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</si>
  <si>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</si>
  <si>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</si>
  <si>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</si>
  <si>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</si>
  <si>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</si>
  <si>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</si>
  <si>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</si>
  <si>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</si>
  <si>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</si>
  <si>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</si>
  <si>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</si>
  <si>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</si>
  <si>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</si>
  <si>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</si>
  <si>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</si>
  <si>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</si>
  <si>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</si>
  <si>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</si>
  <si>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</si>
  <si>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</si>
  <si>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</si>
  <si>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</si>
  <si>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</si>
  <si>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</si>
  <si>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</si>
  <si>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</si>
  <si>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</si>
  <si>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</si>
  <si>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</si>
  <si>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</si>
  <si>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</si>
  <si>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</si>
  <si>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</si>
  <si>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</si>
  <si>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</si>
  <si>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</si>
  <si>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</si>
  <si>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</si>
  <si>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</si>
  <si>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</si>
  <si>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</si>
  <si>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</si>
  <si>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</si>
  <si>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</si>
  <si>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t># as of March 2014</t>
  </si>
  <si>
    <t>Number of Revenue Villages Having RSPs Presence (as of March 2014)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</si>
  <si>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</si>
  <si>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</si>
  <si>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</si>
  <si>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</si>
  <si>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</si>
  <si>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</si>
  <si>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</si>
  <si>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r>
      <t xml:space="preserve">Rural Support Programmes (RSPs) in Pakistan, District-wise RSPs Coverage/Outreach as of June </t>
    </r>
    <r>
      <rPr>
        <b/>
        <sz val="10"/>
        <color indexed="10"/>
        <rFont val="Calibri"/>
        <family val="2"/>
      </rPr>
      <t>2014</t>
    </r>
  </si>
  <si>
    <t># as of June 2014</t>
  </si>
  <si>
    <t>% coverage as of June 2014</t>
  </si>
  <si>
    <t>Number of Revenue Villages Having RSPs Presence (as of June 20142014)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</si>
  <si>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</si>
  <si>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</si>
  <si>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>New Added in June 2014</t>
  </si>
  <si>
    <t xml:space="preserve">* The total figure for districts/areas and union councils excludes 28 overlapping districts (presence of multiple RSP) and 670 overlapping union councils </t>
  </si>
  <si>
    <t>Difference over last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</si>
</sst>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73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41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8" fillId="24" borderId="12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10" fontId="29" fillId="0" borderId="16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/>
    </xf>
    <xf numFmtId="165" fontId="29" fillId="25" borderId="14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8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9" fillId="0" borderId="20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65" fontId="29" fillId="0" borderId="24" xfId="508" applyNumberFormat="1" applyFont="1" applyFill="1" applyBorder="1" applyAlignment="1">
      <alignment horizontal="center" vertical="center"/>
    </xf>
    <xf numFmtId="10" fontId="28" fillId="0" borderId="25" xfId="508" applyNumberFormat="1" applyFont="1" applyFill="1" applyBorder="1" applyAlignment="1">
      <alignment horizontal="center" vertical="center"/>
    </xf>
    <xf numFmtId="0" fontId="29" fillId="0" borderId="14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6" xfId="508" applyNumberFormat="1" applyFont="1" applyFill="1" applyBorder="1"/>
    <xf numFmtId="0" fontId="28" fillId="0" borderId="27" xfId="0" applyFont="1" applyFill="1" applyBorder="1"/>
    <xf numFmtId="165" fontId="28" fillId="0" borderId="28" xfId="508" applyNumberFormat="1" applyFont="1" applyFill="1" applyBorder="1" applyAlignment="1">
      <alignment horizontal="center" vertical="center"/>
    </xf>
    <xf numFmtId="165" fontId="28" fillId="0" borderId="29" xfId="508" applyNumberFormat="1" applyFont="1" applyFill="1" applyBorder="1" applyAlignment="1">
      <alignment horizontal="center" vertical="center"/>
    </xf>
    <xf numFmtId="165" fontId="28" fillId="0" borderId="30" xfId="508" applyNumberFormat="1" applyFont="1" applyFill="1" applyBorder="1" applyAlignment="1">
      <alignment horizontal="center" vertical="center"/>
    </xf>
    <xf numFmtId="165" fontId="28" fillId="0" borderId="31" xfId="508" applyNumberFormat="1" applyFont="1" applyFill="1" applyBorder="1" applyAlignment="1">
      <alignment horizontal="center" vertical="center"/>
    </xf>
    <xf numFmtId="165" fontId="28" fillId="0" borderId="27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4" xfId="508" applyNumberFormat="1" applyFont="1" applyBorder="1" applyAlignment="1">
      <alignment horizontal="center" wrapText="1"/>
    </xf>
    <xf numFmtId="164" fontId="30" fillId="0" borderId="14" xfId="508" applyNumberFormat="1" applyFont="1" applyFill="1" applyBorder="1" applyAlignment="1">
      <alignment horizontal="center" wrapText="1"/>
    </xf>
    <xf numFmtId="164" fontId="31" fillId="24" borderId="14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32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31" xfId="0" applyFont="1" applyFill="1" applyBorder="1" applyAlignment="1">
      <alignment horizontal="center" vertical="center"/>
    </xf>
    <xf numFmtId="165" fontId="29" fillId="0" borderId="16" xfId="508" applyNumberFormat="1" applyFont="1" applyFill="1" applyBorder="1" applyAlignment="1">
      <alignment horizontal="left" vertical="center"/>
    </xf>
    <xf numFmtId="165" fontId="29" fillId="0" borderId="16" xfId="508" applyNumberFormat="1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Alignment="1">
      <alignment horizontal="left"/>
    </xf>
    <xf numFmtId="165" fontId="29" fillId="0" borderId="0" xfId="508" applyNumberFormat="1" applyFont="1" applyFill="1" applyAlignment="1">
      <alignment horizontal="left"/>
    </xf>
    <xf numFmtId="165" fontId="29" fillId="0" borderId="33" xfId="508" applyNumberFormat="1" applyFont="1" applyFill="1" applyBorder="1" applyAlignment="1">
      <alignment horizontal="left" vertical="center" wrapText="1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32" xfId="508" applyNumberFormat="1" applyFont="1" applyFill="1" applyBorder="1" applyAlignment="1">
      <alignment horizontal="center" vertical="center" wrapText="1"/>
    </xf>
    <xf numFmtId="165" fontId="29" fillId="0" borderId="22" xfId="508" applyNumberFormat="1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/>
    </xf>
    <xf numFmtId="0" fontId="29" fillId="0" borderId="24" xfId="0" applyFont="1" applyFill="1" applyBorder="1"/>
    <xf numFmtId="0" fontId="29" fillId="0" borderId="25" xfId="0" applyFont="1" applyFill="1" applyBorder="1" applyAlignment="1">
      <alignment horizontal="center"/>
    </xf>
    <xf numFmtId="0" fontId="29" fillId="0" borderId="13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vertical="center"/>
    </xf>
    <xf numFmtId="0" fontId="29" fillId="0" borderId="33" xfId="0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left" vertical="center"/>
    </xf>
    <xf numFmtId="165" fontId="29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9" fillId="0" borderId="15" xfId="508" applyNumberFormat="1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center" vertical="center"/>
    </xf>
    <xf numFmtId="0" fontId="30" fillId="0" borderId="0" xfId="0" applyFont="1" applyFill="1"/>
    <xf numFmtId="167" fontId="29" fillId="0" borderId="14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9" fillId="0" borderId="28" xfId="508" applyNumberFormat="1" applyFont="1" applyFill="1" applyBorder="1" applyAlignment="1">
      <alignment horizontal="center" vertical="center"/>
    </xf>
    <xf numFmtId="43" fontId="30" fillId="0" borderId="14" xfId="508" applyFont="1" applyFill="1" applyBorder="1" applyAlignment="1">
      <alignment horizontal="center" vertical="center" wrapText="1"/>
    </xf>
    <xf numFmtId="167" fontId="30" fillId="0" borderId="14" xfId="508" applyNumberFormat="1" applyFont="1" applyFill="1" applyBorder="1" applyAlignment="1">
      <alignment horizontal="center" vertical="center" wrapText="1"/>
    </xf>
    <xf numFmtId="164" fontId="30" fillId="0" borderId="14" xfId="508" applyNumberFormat="1" applyFont="1" applyBorder="1" applyAlignment="1">
      <alignment horizontal="center" vertical="center" wrapText="1"/>
    </xf>
    <xf numFmtId="164" fontId="30" fillId="0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/>
    </xf>
    <xf numFmtId="43" fontId="30" fillId="0" borderId="14" xfId="508" applyFont="1" applyBorder="1" applyAlignment="1">
      <alignment horizontal="center" vertical="center" wrapText="1"/>
    </xf>
    <xf numFmtId="43" fontId="31" fillId="24" borderId="14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4" xfId="0" applyBorder="1"/>
    <xf numFmtId="0" fontId="29" fillId="0" borderId="34" xfId="0" applyFont="1" applyFill="1" applyBorder="1" applyAlignment="1">
      <alignment horizontal="left" vertical="center"/>
    </xf>
    <xf numFmtId="165" fontId="28" fillId="0" borderId="35" xfId="508" applyNumberFormat="1" applyFont="1" applyFill="1" applyBorder="1" applyAlignment="1">
      <alignment vertical="center" wrapText="1"/>
    </xf>
    <xf numFmtId="165" fontId="28" fillId="0" borderId="34" xfId="508" applyNumberFormat="1" applyFont="1" applyFill="1" applyBorder="1" applyAlignment="1">
      <alignment vertical="center" wrapText="1"/>
    </xf>
    <xf numFmtId="165" fontId="29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8" fillId="0" borderId="14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4" xfId="508" applyNumberFormat="1" applyFont="1" applyFill="1" applyBorder="1" applyAlignment="1">
      <alignment horizontal="center" vertical="center" wrapText="1"/>
    </xf>
    <xf numFmtId="165" fontId="28" fillId="0" borderId="36" xfId="508" applyNumberFormat="1" applyFont="1" applyFill="1" applyBorder="1" applyAlignment="1">
      <alignment horizontal="center" vertical="center"/>
    </xf>
    <xf numFmtId="9" fontId="32" fillId="24" borderId="32" xfId="508" applyNumberFormat="1" applyFont="1" applyFill="1" applyBorder="1" applyAlignment="1">
      <alignment horizontal="center" vertical="center" wrapText="1"/>
    </xf>
    <xf numFmtId="167" fontId="29" fillId="0" borderId="19" xfId="508" applyNumberFormat="1" applyFont="1" applyFill="1" applyBorder="1" applyAlignment="1">
      <alignment horizontal="center" vertical="center"/>
    </xf>
    <xf numFmtId="167" fontId="29" fillId="0" borderId="29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4" xfId="508" applyNumberFormat="1" applyFont="1" applyBorder="1"/>
    <xf numFmtId="0" fontId="28" fillId="0" borderId="27" xfId="0" applyFont="1" applyFill="1" applyBorder="1" applyAlignment="1">
      <alignment horizontal="left" vertical="center"/>
    </xf>
    <xf numFmtId="9" fontId="28" fillId="0" borderId="36" xfId="508" applyNumberFormat="1" applyFont="1" applyFill="1" applyBorder="1" applyAlignment="1">
      <alignment horizontal="center" vertical="center"/>
    </xf>
    <xf numFmtId="165" fontId="28" fillId="0" borderId="37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/>
    </xf>
    <xf numFmtId="165" fontId="29" fillId="0" borderId="22" xfId="508" applyNumberFormat="1" applyFont="1" applyFill="1" applyBorder="1" applyAlignment="1">
      <alignment vertical="center"/>
    </xf>
    <xf numFmtId="165" fontId="29" fillId="0" borderId="21" xfId="508" applyNumberFormat="1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vertical="center"/>
    </xf>
    <xf numFmtId="0" fontId="29" fillId="0" borderId="18" xfId="0" applyFont="1" applyFill="1" applyBorder="1" applyAlignment="1">
      <alignment vertical="center"/>
    </xf>
    <xf numFmtId="167" fontId="29" fillId="0" borderId="38" xfId="508" applyNumberFormat="1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165" fontId="28" fillId="0" borderId="26" xfId="508" applyNumberFormat="1" applyFont="1" applyFill="1" applyBorder="1" applyAlignment="1">
      <alignment horizontal="center" vertical="center"/>
    </xf>
    <xf numFmtId="167" fontId="28" fillId="0" borderId="27" xfId="508" applyNumberFormat="1" applyFont="1" applyFill="1" applyBorder="1" applyAlignment="1">
      <alignment horizontal="center" vertical="center"/>
    </xf>
    <xf numFmtId="165" fontId="28" fillId="0" borderId="39" xfId="508" applyNumberFormat="1" applyFont="1" applyFill="1" applyBorder="1" applyAlignment="1">
      <alignment horizontal="center" vertical="center"/>
    </xf>
    <xf numFmtId="10" fontId="28" fillId="0" borderId="36" xfId="508" applyNumberFormat="1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0" fontId="29" fillId="0" borderId="22" xfId="508" applyNumberFormat="1" applyFont="1" applyFill="1" applyBorder="1" applyAlignment="1">
      <alignment horizontal="center" vertical="center"/>
    </xf>
    <xf numFmtId="165" fontId="33" fillId="0" borderId="14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4" xfId="508" applyNumberFormat="1" applyFont="1" applyFill="1" applyBorder="1" applyAlignment="1">
      <alignment horizontal="center" vertical="center" wrapText="1"/>
    </xf>
    <xf numFmtId="165" fontId="30" fillId="24" borderId="14" xfId="508" applyNumberFormat="1" applyFont="1" applyFill="1" applyBorder="1" applyAlignment="1">
      <alignment horizontal="center" vertical="center" wrapText="1"/>
    </xf>
    <xf numFmtId="0" fontId="31" fillId="28" borderId="28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4" xfId="508" applyNumberFormat="1" applyFont="1" applyFill="1" applyBorder="1" applyAlignment="1">
      <alignment vertical="center"/>
    </xf>
    <xf numFmtId="165" fontId="8" fillId="0" borderId="14" xfId="508" applyNumberFormat="1" applyFont="1" applyFill="1" applyBorder="1" applyAlignment="1">
      <alignment horizontal="center" vertical="center"/>
    </xf>
    <xf numFmtId="165" fontId="36" fillId="0" borderId="14" xfId="508" applyNumberFormat="1" applyFont="1" applyBorder="1"/>
    <xf numFmtId="43" fontId="30" fillId="24" borderId="14" xfId="508" applyNumberFormat="1" applyFont="1" applyFill="1" applyBorder="1" applyAlignment="1">
      <alignment horizontal="center" vertical="center" wrapText="1"/>
    </xf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8" borderId="14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4" xfId="669" applyNumberFormat="1" applyFont="1" applyFill="1" applyBorder="1" applyAlignment="1">
      <alignment horizontal="center" vertical="center"/>
    </xf>
    <xf numFmtId="164" fontId="26" fillId="0" borderId="15" xfId="869" applyNumberFormat="1" applyFont="1" applyFill="1" applyBorder="1" applyAlignment="1">
      <alignment horizontal="left" vertical="top"/>
    </xf>
    <xf numFmtId="164" fontId="26" fillId="0" borderId="17" xfId="869" applyNumberFormat="1" applyFont="1" applyFill="1" applyBorder="1" applyAlignment="1"/>
    <xf numFmtId="164" fontId="8" fillId="0" borderId="14" xfId="869" applyNumberFormat="1" applyFont="1" applyBorder="1"/>
    <xf numFmtId="165" fontId="30" fillId="0" borderId="14" xfId="870" applyNumberFormat="1" applyFont="1" applyFill="1" applyBorder="1" applyAlignment="1">
      <alignment horizontal="center" vertical="center" wrapText="1"/>
    </xf>
    <xf numFmtId="164" fontId="26" fillId="0" borderId="15" xfId="869" applyNumberFormat="1" applyFont="1" applyFill="1" applyBorder="1" applyAlignment="1"/>
    <xf numFmtId="164" fontId="26" fillId="0" borderId="14" xfId="869" applyNumberFormat="1" applyFont="1" applyFill="1" applyBorder="1" applyAlignment="1">
      <alignment horizontal="left"/>
    </xf>
    <xf numFmtId="164" fontId="26" fillId="0" borderId="14" xfId="869" applyNumberFormat="1" applyFont="1" applyFill="1" applyBorder="1" applyAlignment="1">
      <alignment horizontal="center"/>
    </xf>
    <xf numFmtId="164" fontId="8" fillId="0" borderId="14" xfId="869" applyNumberFormat="1" applyFont="1" applyBorder="1" applyAlignment="1">
      <alignment horizontal="right" vertical="center"/>
    </xf>
    <xf numFmtId="164" fontId="26" fillId="0" borderId="14" xfId="869" applyNumberFormat="1" applyFont="1" applyBorder="1" applyAlignment="1">
      <alignment horizontal="center" wrapText="1"/>
    </xf>
    <xf numFmtId="164" fontId="26" fillId="0" borderId="14" xfId="869" applyNumberFormat="1" applyFont="1" applyFill="1" applyBorder="1" applyAlignment="1">
      <alignment horizontal="center" wrapText="1"/>
    </xf>
    <xf numFmtId="164" fontId="27" fillId="29" borderId="14" xfId="869" applyNumberFormat="1" applyFont="1" applyFill="1" applyBorder="1" applyAlignment="1">
      <alignment horizontal="center" wrapText="1"/>
    </xf>
    <xf numFmtId="164" fontId="39" fillId="29" borderId="14" xfId="869" applyNumberFormat="1" applyFont="1" applyFill="1" applyBorder="1"/>
    <xf numFmtId="165" fontId="30" fillId="24" borderId="14" xfId="870" applyNumberFormat="1" applyFont="1" applyFill="1" applyBorder="1" applyAlignment="1">
      <alignment horizontal="center" vertical="center" wrapText="1"/>
    </xf>
    <xf numFmtId="0" fontId="26" fillId="0" borderId="14" xfId="869" applyFont="1" applyBorder="1" applyAlignment="1">
      <alignment horizontal="center" wrapText="1"/>
    </xf>
    <xf numFmtId="43" fontId="8" fillId="0" borderId="14" xfId="871" applyFont="1" applyBorder="1"/>
    <xf numFmtId="0" fontId="26" fillId="0" borderId="14" xfId="869" applyFont="1" applyFill="1" applyBorder="1" applyAlignment="1">
      <alignment horizontal="center" wrapText="1"/>
    </xf>
    <xf numFmtId="0" fontId="8" fillId="0" borderId="14" xfId="869" applyFont="1" applyBorder="1"/>
    <xf numFmtId="0" fontId="39" fillId="29" borderId="14" xfId="869" applyFont="1" applyFill="1" applyBorder="1"/>
    <xf numFmtId="164" fontId="26" fillId="0" borderId="14" xfId="869" applyNumberFormat="1" applyFont="1" applyFill="1" applyBorder="1" applyAlignment="1">
      <alignment horizontal="center" vertical="top" wrapText="1"/>
    </xf>
    <xf numFmtId="164" fontId="8" fillId="0" borderId="14" xfId="869" applyNumberFormat="1" applyFont="1" applyFill="1" applyBorder="1"/>
    <xf numFmtId="167" fontId="30" fillId="0" borderId="14" xfId="870" applyNumberFormat="1" applyFont="1" applyFill="1" applyBorder="1" applyAlignment="1">
      <alignment horizontal="center" vertical="center" wrapText="1"/>
    </xf>
    <xf numFmtId="43" fontId="39" fillId="0" borderId="14" xfId="871" applyFont="1" applyFill="1" applyBorder="1"/>
    <xf numFmtId="43" fontId="39" fillId="29" borderId="14" xfId="871" applyFont="1" applyFill="1" applyBorder="1"/>
    <xf numFmtId="164" fontId="39" fillId="29" borderId="14" xfId="869" applyNumberFormat="1" applyFont="1" applyFill="1" applyBorder="1" applyAlignment="1">
      <alignment horizontal="right"/>
    </xf>
    <xf numFmtId="38" fontId="8" fillId="0" borderId="14" xfId="869" applyNumberFormat="1" applyFont="1" applyBorder="1"/>
    <xf numFmtId="40" fontId="8" fillId="0" borderId="14" xfId="869" applyNumberFormat="1" applyFont="1" applyBorder="1"/>
    <xf numFmtId="165" fontId="26" fillId="0" borderId="14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5" xfId="669" applyNumberFormat="1" applyFont="1" applyBorder="1" applyAlignment="1">
      <alignment vertical="center" wrapText="1"/>
    </xf>
    <xf numFmtId="165" fontId="26" fillId="0" borderId="17" xfId="871" applyNumberFormat="1" applyFont="1" applyBorder="1" applyAlignment="1">
      <alignment vertical="center" wrapText="1"/>
    </xf>
    <xf numFmtId="40" fontId="26" fillId="0" borderId="15" xfId="869" applyNumberFormat="1" applyFont="1" applyBorder="1" applyAlignment="1">
      <alignment vertical="center" wrapText="1"/>
    </xf>
    <xf numFmtId="0" fontId="36" fillId="0" borderId="45" xfId="868" applyFont="1" applyBorder="1" applyAlignment="1">
      <alignment vertical="top" wrapText="1"/>
    </xf>
    <xf numFmtId="167" fontId="8" fillId="0" borderId="14" xfId="871" applyNumberFormat="1" applyFont="1" applyBorder="1"/>
    <xf numFmtId="167" fontId="30" fillId="0" borderId="14" xfId="871" applyNumberFormat="1" applyFont="1" applyFill="1" applyBorder="1" applyAlignment="1">
      <alignment horizontal="center" vertical="center" wrapText="1"/>
    </xf>
    <xf numFmtId="167" fontId="39" fillId="29" borderId="14" xfId="871" applyNumberFormat="1" applyFont="1" applyFill="1" applyBorder="1"/>
    <xf numFmtId="164" fontId="26" fillId="0" borderId="19" xfId="869" applyNumberFormat="1" applyFont="1" applyBorder="1" applyAlignment="1">
      <alignment vertical="top" wrapText="1"/>
    </xf>
    <xf numFmtId="167" fontId="8" fillId="0" borderId="14" xfId="871" applyNumberFormat="1" applyFont="1" applyFill="1" applyBorder="1"/>
    <xf numFmtId="0" fontId="40" fillId="0" borderId="45" xfId="868" applyFont="1" applyBorder="1" applyAlignment="1">
      <alignment vertical="center" wrapText="1"/>
    </xf>
    <xf numFmtId="0" fontId="2" fillId="0" borderId="45" xfId="868" applyBorder="1" applyAlignment="1">
      <alignment vertical="center" wrapText="1"/>
    </xf>
    <xf numFmtId="0" fontId="31" fillId="0" borderId="28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0" fontId="29" fillId="0" borderId="22" xfId="0" applyFont="1" applyFill="1" applyBorder="1" applyAlignment="1">
      <alignment horizontal="center"/>
    </xf>
    <xf numFmtId="165" fontId="30" fillId="24" borderId="14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8" xfId="0" applyFont="1" applyFill="1" applyBorder="1" applyAlignment="1">
      <alignment horizontal="center" vertical="center"/>
    </xf>
    <xf numFmtId="165" fontId="30" fillId="30" borderId="14" xfId="508" applyNumberFormat="1" applyFont="1" applyFill="1" applyBorder="1" applyAlignment="1">
      <alignment horizontal="center" vertical="center" wrapText="1"/>
    </xf>
    <xf numFmtId="0" fontId="36" fillId="0" borderId="0" xfId="868" applyFont="1" applyBorder="1" applyAlignment="1">
      <alignment vertical="top" wrapText="1"/>
    </xf>
    <xf numFmtId="17" fontId="27" fillId="29" borderId="0" xfId="669" applyNumberFormat="1" applyFont="1" applyFill="1" applyBorder="1" applyAlignment="1">
      <alignment horizontal="center" vertical="center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0" fontId="31" fillId="28" borderId="28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Border="1" applyProtection="1">
      <protection locked="0"/>
    </xf>
    <xf numFmtId="165" fontId="29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4" xfId="508" applyNumberFormat="1" applyFont="1" applyBorder="1" applyAlignment="1" applyProtection="1">
      <alignment horizontal="center" vertical="center" wrapText="1"/>
      <protection locked="0"/>
    </xf>
    <xf numFmtId="165" fontId="29" fillId="28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4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4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4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vertical="center"/>
      <protection locked="0"/>
    </xf>
    <xf numFmtId="43" fontId="30" fillId="0" borderId="14" xfId="508" applyFont="1" applyBorder="1" applyAlignment="1" applyProtection="1">
      <alignment horizontal="center" vertical="center" wrapText="1"/>
      <protection locked="0"/>
    </xf>
    <xf numFmtId="43" fontId="30" fillId="0" borderId="14" xfId="508" applyFont="1" applyFill="1" applyBorder="1" applyAlignment="1" applyProtection="1">
      <alignment horizontal="center" vertical="center" wrapText="1"/>
      <protection locked="0"/>
    </xf>
    <xf numFmtId="43" fontId="30" fillId="24" borderId="14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4" xfId="508" applyFont="1" applyFill="1" applyBorder="1" applyAlignment="1" applyProtection="1">
      <alignment horizontal="center" vertical="center" wrapText="1"/>
      <protection locked="0"/>
    </xf>
    <xf numFmtId="165" fontId="30" fillId="24" borderId="14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Border="1" applyAlignment="1" applyProtection="1">
      <alignment horizontal="center" wrapText="1"/>
      <protection locked="0"/>
    </xf>
    <xf numFmtId="164" fontId="30" fillId="0" borderId="14" xfId="508" applyNumberFormat="1" applyFont="1" applyFill="1" applyBorder="1" applyAlignment="1" applyProtection="1">
      <alignment horizont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wrapText="1"/>
      <protection locked="0"/>
    </xf>
    <xf numFmtId="164" fontId="31" fillId="24" borderId="32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4" xfId="508" applyNumberFormat="1" applyFont="1" applyFill="1" applyBorder="1" applyAlignment="1">
      <alignment horizontal="center" vertical="center" wrapText="1"/>
    </xf>
    <xf numFmtId="165" fontId="42" fillId="28" borderId="14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4" xfId="508" applyNumberFormat="1" applyFont="1" applyFill="1" applyBorder="1" applyAlignment="1">
      <alignment horizontal="center" vertical="center" wrapText="1"/>
    </xf>
    <xf numFmtId="0" fontId="43" fillId="31" borderId="45" xfId="0" applyFont="1" applyFill="1" applyBorder="1" applyAlignment="1">
      <alignment wrapText="1"/>
    </xf>
    <xf numFmtId="0" fontId="28" fillId="24" borderId="11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37" fontId="28" fillId="24" borderId="35" xfId="508" applyNumberFormat="1" applyFont="1" applyFill="1" applyBorder="1" applyAlignment="1">
      <alignment horizontal="center" vertical="center" wrapText="1"/>
    </xf>
    <xf numFmtId="0" fontId="28" fillId="24" borderId="40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/>
    </xf>
    <xf numFmtId="37" fontId="28" fillId="0" borderId="24" xfId="508" applyNumberFormat="1" applyFont="1" applyFill="1" applyBorder="1" applyAlignment="1">
      <alignment horizontal="right" vertical="center"/>
    </xf>
    <xf numFmtId="165" fontId="28" fillId="24" borderId="33" xfId="508" applyNumberFormat="1" applyFont="1" applyFill="1" applyBorder="1" applyAlignment="1">
      <alignment horizontal="center" vertical="center" wrapText="1"/>
    </xf>
    <xf numFmtId="165" fontId="28" fillId="24" borderId="41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165" fontId="28" fillId="24" borderId="32" xfId="508" applyNumberFormat="1" applyFont="1" applyFill="1" applyBorder="1" applyAlignment="1">
      <alignment horizontal="center" vertical="center" wrapText="1"/>
    </xf>
    <xf numFmtId="43" fontId="28" fillId="24" borderId="31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5" xfId="508" applyNumberFormat="1" applyFont="1" applyFill="1" applyBorder="1" applyAlignment="1">
      <alignment horizontal="center" vertical="center" wrapText="1"/>
    </xf>
    <xf numFmtId="0" fontId="37" fillId="24" borderId="40" xfId="0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0" fontId="31" fillId="0" borderId="3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164" fontId="31" fillId="0" borderId="14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 vertical="top" wrapText="1"/>
    </xf>
    <xf numFmtId="43" fontId="31" fillId="0" borderId="13" xfId="508" applyFont="1" applyBorder="1" applyAlignment="1">
      <alignment horizontal="left" vertical="top" wrapText="1"/>
    </xf>
    <xf numFmtId="164" fontId="31" fillId="0" borderId="18" xfId="508" applyNumberFormat="1" applyFont="1" applyFill="1" applyBorder="1" applyAlignment="1">
      <alignment horizontal="left" vertical="top" wrapText="1"/>
    </xf>
    <xf numFmtId="164" fontId="31" fillId="0" borderId="43" xfId="508" applyNumberFormat="1" applyFont="1" applyFill="1" applyBorder="1" applyAlignment="1">
      <alignment horizontal="left" vertical="top" wrapText="1"/>
    </xf>
    <xf numFmtId="164" fontId="31" fillId="0" borderId="44" xfId="508" applyNumberFormat="1" applyFont="1" applyFill="1" applyBorder="1" applyAlignment="1">
      <alignment horizontal="left" vertical="top" wrapText="1"/>
    </xf>
    <xf numFmtId="38" fontId="28" fillId="0" borderId="13" xfId="508" applyNumberFormat="1" applyFont="1" applyBorder="1" applyAlignment="1">
      <alignment horizontal="left" vertical="top" wrapText="1"/>
    </xf>
    <xf numFmtId="164" fontId="31" fillId="0" borderId="41" xfId="508" applyNumberFormat="1" applyFont="1" applyBorder="1" applyAlignment="1">
      <alignment horizontal="left" vertical="top" wrapText="1"/>
    </xf>
    <xf numFmtId="38" fontId="28" fillId="0" borderId="13" xfId="508" applyNumberFormat="1" applyFont="1" applyFill="1" applyBorder="1" applyAlignment="1">
      <alignment horizontal="left" vertical="top" wrapText="1"/>
    </xf>
    <xf numFmtId="38" fontId="31" fillId="25" borderId="13" xfId="0" applyNumberFormat="1" applyFont="1" applyFill="1" applyBorder="1" applyAlignment="1">
      <alignment horizontal="left" vertical="center" wrapText="1"/>
    </xf>
    <xf numFmtId="38" fontId="31" fillId="25" borderId="14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38" fontId="31" fillId="0" borderId="14" xfId="0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25" borderId="14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40" fontId="31" fillId="0" borderId="14" xfId="508" applyNumberFormat="1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164" fontId="28" fillId="0" borderId="13" xfId="508" applyNumberFormat="1" applyFont="1" applyBorder="1" applyAlignment="1">
      <alignment horizontal="left" vertical="top" wrapText="1"/>
    </xf>
    <xf numFmtId="164" fontId="31" fillId="0" borderId="13" xfId="508" applyNumberFormat="1" applyFont="1" applyBorder="1" applyAlignment="1" applyProtection="1">
      <alignment horizontal="left" vertical="top" wrapText="1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164" fontId="31" fillId="0" borderId="14" xfId="508" applyNumberFormat="1" applyFont="1" applyFill="1" applyBorder="1" applyAlignment="1" applyProtection="1">
      <alignment horizontal="left"/>
      <protection locked="0"/>
    </xf>
    <xf numFmtId="164" fontId="31" fillId="0" borderId="13" xfId="508" applyNumberFormat="1" applyFont="1" applyFill="1" applyBorder="1" applyAlignment="1" applyProtection="1">
      <alignment horizontal="left"/>
      <protection locked="0"/>
    </xf>
    <xf numFmtId="164" fontId="31" fillId="0" borderId="13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3" xfId="508" applyFont="1" applyBorder="1" applyAlignment="1" applyProtection="1">
      <alignment horizontal="left" vertical="top" wrapText="1"/>
      <protection locked="0"/>
    </xf>
    <xf numFmtId="164" fontId="31" fillId="0" borderId="18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3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4" xfId="508" applyNumberFormat="1" applyFont="1" applyFill="1" applyBorder="1" applyAlignment="1" applyProtection="1">
      <alignment horizontal="left" vertical="top" wrapText="1"/>
      <protection locked="0"/>
    </xf>
    <xf numFmtId="38" fontId="28" fillId="0" borderId="13" xfId="508" applyNumberFormat="1" applyFont="1" applyBorder="1" applyAlignment="1" applyProtection="1">
      <alignment horizontal="left" vertical="top" wrapText="1"/>
      <protection locked="0"/>
    </xf>
    <xf numFmtId="164" fontId="31" fillId="0" borderId="41" xfId="508" applyNumberFormat="1" applyFont="1" applyBorder="1" applyAlignment="1" applyProtection="1">
      <alignment horizontal="left" vertical="top" wrapText="1"/>
      <protection locked="0"/>
    </xf>
    <xf numFmtId="38" fontId="28" fillId="0" borderId="13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4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4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4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4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14" xfId="0" applyFont="1" applyBorder="1" applyAlignment="1" applyProtection="1">
      <alignment horizontal="left" vertical="center" wrapText="1"/>
      <protection locked="0"/>
    </xf>
    <xf numFmtId="164" fontId="28" fillId="0" borderId="13" xfId="508" applyNumberFormat="1" applyFont="1" applyBorder="1" applyAlignment="1" applyProtection="1">
      <alignment horizontal="left" vertical="top" wrapText="1"/>
      <protection locked="0"/>
    </xf>
    <xf numFmtId="164" fontId="26" fillId="0" borderId="19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164" fontId="26" fillId="0" borderId="38" xfId="869" applyNumberFormat="1" applyFont="1" applyBorder="1" applyAlignment="1">
      <alignment horizontal="left" vertical="top" wrapText="1"/>
    </xf>
    <xf numFmtId="0" fontId="27" fillId="29" borderId="14" xfId="669" applyFont="1" applyFill="1" applyBorder="1" applyAlignment="1">
      <alignment horizontal="center" vertical="center"/>
    </xf>
    <xf numFmtId="164" fontId="26" fillId="0" borderId="14" xfId="869" applyNumberFormat="1" applyFont="1" applyBorder="1" applyAlignment="1">
      <alignment horizontal="left" vertical="top" wrapText="1"/>
    </xf>
    <xf numFmtId="0" fontId="26" fillId="0" borderId="14" xfId="869" applyFont="1" applyBorder="1" applyAlignment="1">
      <alignment horizontal="left" vertical="top" wrapText="1"/>
    </xf>
    <xf numFmtId="0" fontId="26" fillId="0" borderId="14" xfId="669" applyFont="1" applyBorder="1" applyAlignment="1">
      <alignment horizontal="left" vertical="center" wrapText="1"/>
    </xf>
    <xf numFmtId="38" fontId="26" fillId="0" borderId="14" xfId="669" applyNumberFormat="1" applyFont="1" applyBorder="1" applyAlignment="1">
      <alignment horizontal="left" vertical="center" wrapText="1"/>
    </xf>
    <xf numFmtId="40" fontId="26" fillId="0" borderId="14" xfId="869" applyNumberFormat="1" applyFont="1" applyBorder="1" applyAlignment="1">
      <alignment horizontal="left" vertical="center" wrapText="1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June,</a:t>
            </a:r>
            <a:r>
              <a:rPr lang="en-US"/>
              <a:t> 2014)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7826176"/>
        <c:axId val="107827968"/>
        <c:axId val="0"/>
      </c:bar3DChart>
      <c:catAx>
        <c:axId val="1078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827968"/>
        <c:crosses val="autoZero"/>
        <c:auto val="1"/>
        <c:lblAlgn val="ctr"/>
        <c:lblOffset val="100"/>
        <c:noMultiLvlLbl val="0"/>
      </c:catAx>
      <c:valAx>
        <c:axId val="10782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2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10304"/>
        <c:axId val="108611840"/>
      </c:lineChart>
      <c:catAx>
        <c:axId val="10861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611840"/>
        <c:crosses val="autoZero"/>
        <c:auto val="1"/>
        <c:lblAlgn val="ctr"/>
        <c:lblOffset val="100"/>
        <c:noMultiLvlLbl val="0"/>
      </c:catAx>
      <c:valAx>
        <c:axId val="10861184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086103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36800"/>
        <c:axId val="108650880"/>
      </c:lineChart>
      <c:catAx>
        <c:axId val="10863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650880"/>
        <c:crosses val="autoZero"/>
        <c:auto val="1"/>
        <c:lblAlgn val="ctr"/>
        <c:lblOffset val="100"/>
        <c:noMultiLvlLbl val="0"/>
      </c:catAx>
      <c:valAx>
        <c:axId val="108650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086368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755584"/>
        <c:axId val="108757376"/>
      </c:lineChart>
      <c:catAx>
        <c:axId val="10875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757376"/>
        <c:crosses val="autoZero"/>
        <c:auto val="1"/>
        <c:lblAlgn val="ctr"/>
        <c:lblOffset val="100"/>
        <c:noMultiLvlLbl val="0"/>
      </c:catAx>
      <c:valAx>
        <c:axId val="10875737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0875558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91680"/>
        <c:axId val="108793216"/>
      </c:lineChart>
      <c:catAx>
        <c:axId val="10879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793216"/>
        <c:crosses val="autoZero"/>
        <c:auto val="1"/>
        <c:lblAlgn val="ctr"/>
        <c:lblOffset val="100"/>
        <c:noMultiLvlLbl val="0"/>
      </c:catAx>
      <c:valAx>
        <c:axId val="10879321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0879168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2528"/>
        <c:axId val="108824064"/>
      </c:lineChart>
      <c:catAx>
        <c:axId val="108822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824064"/>
        <c:crosses val="autoZero"/>
        <c:auto val="1"/>
        <c:lblAlgn val="ctr"/>
        <c:lblOffset val="100"/>
        <c:noMultiLvlLbl val="0"/>
      </c:catAx>
      <c:valAx>
        <c:axId val="1088240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08822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56832"/>
        <c:axId val="108858368"/>
      </c:lineChart>
      <c:catAx>
        <c:axId val="10885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858368"/>
        <c:crosses val="autoZero"/>
        <c:auto val="1"/>
        <c:lblAlgn val="ctr"/>
        <c:lblOffset val="100"/>
        <c:noMultiLvlLbl val="0"/>
      </c:catAx>
      <c:valAx>
        <c:axId val="1088583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0885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</a:t>
            </a:r>
            <a:r>
              <a:rPr lang="en-US" sz="1600" baseline="0"/>
              <a:t> June</a:t>
            </a:r>
            <a:r>
              <a:rPr lang="en-US" sz="1600"/>
              <a:t>, 2014)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284</c:v>
                </c:pt>
                <c:pt idx="1">
                  <c:v>559</c:v>
                </c:pt>
                <c:pt idx="2">
                  <c:v>691</c:v>
                </c:pt>
                <c:pt idx="3">
                  <c:v>1794</c:v>
                </c:pt>
                <c:pt idx="4">
                  <c:v>180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858176"/>
        <c:axId val="107864064"/>
      </c:barChart>
      <c:catAx>
        <c:axId val="1078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4064"/>
        <c:crosses val="autoZero"/>
        <c:auto val="1"/>
        <c:lblAlgn val="ctr"/>
        <c:lblOffset val="100"/>
        <c:noMultiLvlLbl val="0"/>
      </c:catAx>
      <c:valAx>
        <c:axId val="10786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581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at</a:t>
            </a:r>
            <a:r>
              <a:rPr lang="en-US" baseline="0"/>
              <a:t> June</a:t>
            </a:r>
            <a:r>
              <a:rPr lang="en-US"/>
              <a:t>, 2014)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39.262654585963247</c:v>
                </c:pt>
                <c:pt idx="1">
                  <c:v>50.428910674827925</c:v>
                </c:pt>
                <c:pt idx="2">
                  <c:v>42.199960276292614</c:v>
                </c:pt>
                <c:pt idx="3">
                  <c:v>49.226491714526908</c:v>
                </c:pt>
                <c:pt idx="4">
                  <c:v>72.536093609497556</c:v>
                </c:pt>
                <c:pt idx="5">
                  <c:v>69.747920669136846</c:v>
                </c:pt>
                <c:pt idx="6">
                  <c:v>4.0523827196296018</c:v>
                </c:pt>
                <c:pt idx="7">
                  <c:v>46.852475434084056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69152"/>
        <c:axId val="107570688"/>
      </c:barChart>
      <c:catAx>
        <c:axId val="1075691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</c:scaling>
        <c:delete val="0"/>
        <c:axPos val="r"/>
        <c:majorGridlines/>
        <c:numFmt formatCode="_(* #,##0.0_);_(* \(#,##0.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1075691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66144"/>
        <c:axId val="108143744"/>
      </c:lineChart>
      <c:catAx>
        <c:axId val="9176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143744"/>
        <c:crosses val="autoZero"/>
        <c:auto val="1"/>
        <c:lblAlgn val="ctr"/>
        <c:lblOffset val="100"/>
        <c:noMultiLvlLbl val="0"/>
      </c:catAx>
      <c:valAx>
        <c:axId val="10814374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917661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3617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162048"/>
        <c:axId val="108167936"/>
      </c:lineChart>
      <c:catAx>
        <c:axId val="10816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167936"/>
        <c:crosses val="autoZero"/>
        <c:auto val="1"/>
        <c:lblAlgn val="ctr"/>
        <c:lblOffset val="100"/>
        <c:noMultiLvlLbl val="0"/>
      </c:catAx>
      <c:valAx>
        <c:axId val="1081679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081620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5.8471770000000003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196224"/>
        <c:axId val="108197760"/>
      </c:lineChart>
      <c:catAx>
        <c:axId val="108196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197760"/>
        <c:crosses val="autoZero"/>
        <c:auto val="1"/>
        <c:lblAlgn val="ctr"/>
        <c:lblOffset val="100"/>
        <c:noMultiLvlLbl val="0"/>
      </c:catAx>
      <c:valAx>
        <c:axId val="10819776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one"/>
        <c:crossAx val="1081962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92448"/>
        <c:axId val="108393984"/>
      </c:lineChart>
      <c:catAx>
        <c:axId val="10839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393984"/>
        <c:crosses val="autoZero"/>
        <c:auto val="1"/>
        <c:lblAlgn val="ctr"/>
        <c:lblOffset val="100"/>
        <c:noMultiLvlLbl val="0"/>
      </c:catAx>
      <c:valAx>
        <c:axId val="10839398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083924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11232"/>
        <c:axId val="108512768"/>
      </c:lineChart>
      <c:catAx>
        <c:axId val="108511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12768"/>
        <c:crosses val="autoZero"/>
        <c:auto val="1"/>
        <c:lblAlgn val="ctr"/>
        <c:lblOffset val="100"/>
        <c:noMultiLvlLbl val="0"/>
      </c:catAx>
      <c:valAx>
        <c:axId val="1085127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0851123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8647342995169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60768"/>
        <c:axId val="108562304"/>
      </c:lineChart>
      <c:catAx>
        <c:axId val="10856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62304"/>
        <c:crosses val="autoZero"/>
        <c:auto val="1"/>
        <c:lblAlgn val="ctr"/>
        <c:lblOffset val="100"/>
        <c:noMultiLvlLbl val="0"/>
      </c:catAx>
      <c:valAx>
        <c:axId val="10856230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0856076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SRSO%20RSPs%20Outreach_Issue_22%20(June%20%202014)%20(Sent%20to%20RSPs%2018%20Sept%202014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PRSP%20Outreach_Issue_19_As_of_June_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BRSP%20All%20RSPs%20Outreach_Issue_22%20(June%20%202014)%20(Sent%20to%20RSPs%2018%20Sept%20201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SRSP%20Outreach_Issue_22%20(June%20%202014)%20(SRS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Outreach_Issue_21%20(March%20%202014)%20SRSP%20send%20to%20RSPN%20after%20correction%20July%201%20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GBTI%20All%20RSPs%20Outreach_Issue_22%20(June%20%202014)%20(Sent%20to%20RSPs%2018%20Sept%202014).GBT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TRDP%20Outreach_Issue_22%20(June%20%202014)%20(Sent%20to%20RSPs%2018%20Sept%20201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  <cell r="I82">
            <v>283</v>
          </cell>
          <cell r="L82">
            <v>123054</v>
          </cell>
          <cell r="P82">
            <v>6961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</row>
        <row r="87">
          <cell r="E87">
            <v>37</v>
          </cell>
          <cell r="I87">
            <v>170</v>
          </cell>
          <cell r="L87">
            <v>80708</v>
          </cell>
          <cell r="P87">
            <v>4787</v>
          </cell>
        </row>
        <row r="88">
          <cell r="E88">
            <v>49</v>
          </cell>
          <cell r="I88">
            <v>244</v>
          </cell>
          <cell r="L88">
            <v>70400</v>
          </cell>
          <cell r="P88">
            <v>4078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</row>
        <row r="92">
          <cell r="E92">
            <v>39</v>
          </cell>
          <cell r="I92">
            <v>142</v>
          </cell>
          <cell r="L92">
            <v>24710</v>
          </cell>
          <cell r="P92">
            <v>1729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</row>
        <row r="96">
          <cell r="E96">
            <v>50</v>
          </cell>
          <cell r="I96">
            <v>222</v>
          </cell>
          <cell r="L96">
            <v>104557</v>
          </cell>
          <cell r="P96">
            <v>5997</v>
          </cell>
        </row>
        <row r="97">
          <cell r="E97">
            <v>26</v>
          </cell>
          <cell r="I97">
            <v>196</v>
          </cell>
          <cell r="L97">
            <v>36598</v>
          </cell>
          <cell r="P97">
            <v>2629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  <cell r="S113">
            <v>60</v>
          </cell>
        </row>
        <row r="116">
          <cell r="N116">
            <v>20260</v>
          </cell>
          <cell r="S116">
            <v>1302</v>
          </cell>
        </row>
        <row r="117">
          <cell r="F117">
            <v>71</v>
          </cell>
          <cell r="J117">
            <v>336</v>
          </cell>
          <cell r="N117">
            <v>65190</v>
          </cell>
          <cell r="S117">
            <v>4249</v>
          </cell>
        </row>
        <row r="118">
          <cell r="F118">
            <v>62</v>
          </cell>
          <cell r="J118">
            <v>373</v>
          </cell>
          <cell r="N118">
            <v>59349</v>
          </cell>
          <cell r="S118">
            <v>3251</v>
          </cell>
        </row>
        <row r="119">
          <cell r="F119">
            <v>35</v>
          </cell>
          <cell r="J119">
            <v>370</v>
          </cell>
          <cell r="N119">
            <v>52642</v>
          </cell>
          <cell r="S119">
            <v>3295</v>
          </cell>
        </row>
        <row r="120">
          <cell r="F120">
            <v>16</v>
          </cell>
          <cell r="J120">
            <v>110</v>
          </cell>
          <cell r="N120">
            <v>31402</v>
          </cell>
          <cell r="S120">
            <v>1927</v>
          </cell>
        </row>
        <row r="122">
          <cell r="F122">
            <v>21</v>
          </cell>
          <cell r="J122">
            <v>181</v>
          </cell>
          <cell r="N122">
            <v>30088</v>
          </cell>
          <cell r="S122">
            <v>2056</v>
          </cell>
        </row>
        <row r="124">
          <cell r="F124">
            <v>7</v>
          </cell>
          <cell r="J124">
            <v>20</v>
          </cell>
          <cell r="N124">
            <v>12134</v>
          </cell>
          <cell r="S124">
            <v>936</v>
          </cell>
        </row>
        <row r="125">
          <cell r="F125">
            <v>21</v>
          </cell>
          <cell r="J125">
            <v>129</v>
          </cell>
          <cell r="N125">
            <v>29998</v>
          </cell>
          <cell r="S125">
            <v>1857</v>
          </cell>
        </row>
        <row r="128">
          <cell r="F128">
            <v>27</v>
          </cell>
          <cell r="J128">
            <v>156</v>
          </cell>
          <cell r="N128">
            <v>43777</v>
          </cell>
          <cell r="S128">
            <v>2978</v>
          </cell>
        </row>
        <row r="129">
          <cell r="F129">
            <v>26</v>
          </cell>
          <cell r="J129">
            <v>377</v>
          </cell>
          <cell r="N129">
            <v>128239</v>
          </cell>
          <cell r="S129">
            <v>8480</v>
          </cell>
        </row>
        <row r="132">
          <cell r="F132">
            <v>6</v>
          </cell>
          <cell r="J132">
            <v>18</v>
          </cell>
          <cell r="N132">
            <v>7638</v>
          </cell>
          <cell r="S132">
            <v>509</v>
          </cell>
        </row>
        <row r="133">
          <cell r="F133">
            <v>53</v>
          </cell>
          <cell r="J133">
            <v>244</v>
          </cell>
          <cell r="N133">
            <v>38916</v>
          </cell>
          <cell r="S133">
            <v>2509</v>
          </cell>
        </row>
        <row r="136">
          <cell r="F136">
            <v>22</v>
          </cell>
          <cell r="J136">
            <v>148</v>
          </cell>
          <cell r="N136">
            <v>35212</v>
          </cell>
          <cell r="S136">
            <v>2382</v>
          </cell>
        </row>
        <row r="138">
          <cell r="F138">
            <v>24</v>
          </cell>
          <cell r="J138">
            <v>277</v>
          </cell>
          <cell r="N138">
            <v>153890</v>
          </cell>
          <cell r="S138">
            <v>9342</v>
          </cell>
        </row>
        <row r="140">
          <cell r="J140">
            <v>229</v>
          </cell>
          <cell r="N140">
            <v>695</v>
          </cell>
          <cell r="S140">
            <v>45</v>
          </cell>
        </row>
        <row r="141">
          <cell r="F141">
            <v>61</v>
          </cell>
          <cell r="J141">
            <v>554</v>
          </cell>
          <cell r="N141">
            <v>124666</v>
          </cell>
          <cell r="S141">
            <v>5892</v>
          </cell>
        </row>
        <row r="142">
          <cell r="F142">
            <v>27</v>
          </cell>
          <cell r="J142">
            <v>229</v>
          </cell>
          <cell r="N142">
            <v>38189</v>
          </cell>
          <cell r="S142">
            <v>2520</v>
          </cell>
        </row>
        <row r="143">
          <cell r="F143">
            <v>20</v>
          </cell>
          <cell r="J143">
            <v>174</v>
          </cell>
          <cell r="N143">
            <v>26506</v>
          </cell>
          <cell r="S143">
            <v>1720</v>
          </cell>
        </row>
        <row r="147">
          <cell r="J147">
            <v>319</v>
          </cell>
          <cell r="N147">
            <v>18650</v>
          </cell>
          <cell r="S147">
            <v>1218</v>
          </cell>
        </row>
        <row r="149">
          <cell r="F149">
            <v>39</v>
          </cell>
          <cell r="J149">
            <v>272</v>
          </cell>
          <cell r="N149">
            <v>49428</v>
          </cell>
          <cell r="S149">
            <v>3127</v>
          </cell>
        </row>
        <row r="151">
          <cell r="F151">
            <v>57</v>
          </cell>
          <cell r="J151">
            <v>224</v>
          </cell>
          <cell r="N151">
            <v>52173</v>
          </cell>
          <cell r="S151">
            <v>3243</v>
          </cell>
        </row>
        <row r="153">
          <cell r="F153">
            <v>10</v>
          </cell>
          <cell r="J153">
            <v>143</v>
          </cell>
          <cell r="N153">
            <v>27577</v>
          </cell>
          <cell r="S153">
            <v>1768</v>
          </cell>
        </row>
        <row r="154">
          <cell r="F154">
            <v>87</v>
          </cell>
          <cell r="J154">
            <v>788</v>
          </cell>
          <cell r="N154">
            <v>177209</v>
          </cell>
          <cell r="S154">
            <v>7773</v>
          </cell>
        </row>
        <row r="155">
          <cell r="F155">
            <v>22</v>
          </cell>
          <cell r="J155">
            <v>152</v>
          </cell>
          <cell r="N155">
            <v>42639</v>
          </cell>
          <cell r="S155">
            <v>2764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12">
          <cell r="D12">
            <v>1</v>
          </cell>
        </row>
      </sheetData>
      <sheetData sheetId="2">
        <row r="8">
          <cell r="E8">
            <v>3471</v>
          </cell>
        </row>
      </sheetData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13190</v>
          </cell>
          <cell r="P17">
            <v>756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37069</v>
          </cell>
          <cell r="P22">
            <v>2169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4657</v>
          </cell>
          <cell r="P27">
            <v>232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24416</v>
          </cell>
          <cell r="P38">
            <v>1390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  <cell r="L43">
            <v>57606</v>
          </cell>
        </row>
        <row r="45">
          <cell r="I45">
            <v>92</v>
          </cell>
          <cell r="L45">
            <v>36501</v>
          </cell>
        </row>
        <row r="47">
          <cell r="I47">
            <v>111</v>
          </cell>
          <cell r="P47">
            <v>691</v>
          </cell>
        </row>
        <row r="49">
          <cell r="I49">
            <v>68</v>
          </cell>
          <cell r="P49">
            <v>1652</v>
          </cell>
        </row>
        <row r="51">
          <cell r="I51">
            <v>523</v>
          </cell>
        </row>
        <row r="52">
          <cell r="I52">
            <v>328</v>
          </cell>
          <cell r="P52">
            <v>1964</v>
          </cell>
        </row>
        <row r="53">
          <cell r="I53">
            <v>140</v>
          </cell>
          <cell r="P53">
            <v>1124</v>
          </cell>
        </row>
        <row r="54">
          <cell r="I54">
            <v>0</v>
          </cell>
        </row>
        <row r="55">
          <cell r="I55">
            <v>337</v>
          </cell>
        </row>
        <row r="57">
          <cell r="I57">
            <v>157</v>
          </cell>
          <cell r="L57">
            <v>44474</v>
          </cell>
        </row>
        <row r="59">
          <cell r="I59">
            <v>117</v>
          </cell>
          <cell r="L59">
            <v>49483</v>
          </cell>
        </row>
        <row r="60">
          <cell r="I60">
            <v>243</v>
          </cell>
          <cell r="L60">
            <v>69685</v>
          </cell>
        </row>
        <row r="61">
          <cell r="I61">
            <v>132</v>
          </cell>
          <cell r="P61">
            <v>2372</v>
          </cell>
        </row>
        <row r="64">
          <cell r="I64">
            <v>43</v>
          </cell>
        </row>
        <row r="65">
          <cell r="I65">
            <v>390</v>
          </cell>
          <cell r="L65">
            <v>110566</v>
          </cell>
        </row>
        <row r="67">
          <cell r="I67">
            <v>63</v>
          </cell>
          <cell r="L67">
            <v>42732</v>
          </cell>
        </row>
        <row r="68">
          <cell r="I68">
            <v>33</v>
          </cell>
          <cell r="P68">
            <v>842</v>
          </cell>
        </row>
        <row r="70">
          <cell r="I70">
            <v>55</v>
          </cell>
          <cell r="P70">
            <v>852</v>
          </cell>
        </row>
        <row r="71">
          <cell r="I71">
            <v>115</v>
          </cell>
          <cell r="P71">
            <v>2116</v>
          </cell>
        </row>
        <row r="75">
          <cell r="P75">
            <v>1772</v>
          </cell>
        </row>
        <row r="190">
          <cell r="I190">
            <v>78</v>
          </cell>
          <cell r="P190">
            <v>79</v>
          </cell>
        </row>
        <row r="192">
          <cell r="P192">
            <v>145</v>
          </cell>
        </row>
        <row r="193">
          <cell r="I193">
            <v>78</v>
          </cell>
          <cell r="P193">
            <v>65</v>
          </cell>
        </row>
        <row r="196">
          <cell r="I196">
            <v>78</v>
          </cell>
          <cell r="P196">
            <v>71</v>
          </cell>
        </row>
        <row r="201">
          <cell r="L201">
            <v>1738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  <cell r="I56">
            <v>22</v>
          </cell>
          <cell r="L56">
            <v>7220</v>
          </cell>
          <cell r="P56">
            <v>751</v>
          </cell>
        </row>
        <row r="72">
          <cell r="E72">
            <v>6</v>
          </cell>
          <cell r="I72">
            <v>23</v>
          </cell>
          <cell r="L72">
            <v>8632</v>
          </cell>
          <cell r="P72">
            <v>762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  <cell r="I81">
            <v>131</v>
          </cell>
          <cell r="L81">
            <v>37961</v>
          </cell>
          <cell r="P81">
            <v>1606</v>
          </cell>
        </row>
        <row r="85">
          <cell r="E85">
            <v>12</v>
          </cell>
          <cell r="I85">
            <v>78</v>
          </cell>
          <cell r="L85">
            <v>27290</v>
          </cell>
          <cell r="P85">
            <v>595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11477</v>
          </cell>
        </row>
        <row r="103">
          <cell r="E103">
            <v>27</v>
          </cell>
          <cell r="I103">
            <v>186</v>
          </cell>
          <cell r="L103">
            <v>45128</v>
          </cell>
          <cell r="P103">
            <v>2768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opLeftCell="A33" zoomScale="90" zoomScaleNormal="90" workbookViewId="0">
      <selection activeCell="B37" sqref="B37"/>
    </sheetView>
  </sheetViews>
  <sheetFormatPr defaultRowHeight="13.2" x14ac:dyDescent="0.25"/>
  <cols>
    <col min="1" max="1" width="58.6640625" customWidth="1"/>
    <col min="2" max="2" width="51.44140625" customWidth="1"/>
    <col min="3" max="3" width="48.33203125" customWidth="1"/>
    <col min="4" max="4" width="33.5546875" bestFit="1" customWidth="1"/>
  </cols>
  <sheetData>
    <row r="2" spans="1:3" ht="13.8" thickBot="1" x14ac:dyDescent="0.3"/>
    <row r="3" spans="1:3" ht="13.8" x14ac:dyDescent="0.25">
      <c r="A3" s="96" t="s">
        <v>203</v>
      </c>
      <c r="B3" s="121" t="str">
        <f>'[1]1.RSP Districts '!P212</f>
        <v>Number of total districts/areas in the province/area</v>
      </c>
      <c r="C3" s="121" t="str">
        <f>'[1]1.RSP Districts '!A212</f>
        <v xml:space="preserve">Number of districts/areas having RSPs presence  </v>
      </c>
    </row>
    <row r="4" spans="1:3" ht="13.8" x14ac:dyDescent="0.25">
      <c r="A4" s="32" t="s">
        <v>161</v>
      </c>
      <c r="B4" s="121">
        <f>'1.RSP Districts '!R224</f>
        <v>30</v>
      </c>
      <c r="C4" s="121">
        <f>'1.RSP Districts '!A224</f>
        <v>19</v>
      </c>
    </row>
    <row r="5" spans="1:3" ht="13.8" x14ac:dyDescent="0.25">
      <c r="A5" s="32" t="s">
        <v>209</v>
      </c>
      <c r="B5" s="121">
        <f>'1.RSP Districts '!R225</f>
        <v>24</v>
      </c>
      <c r="C5" s="121">
        <f>'1.RSP Districts '!A225</f>
        <v>21</v>
      </c>
    </row>
    <row r="6" spans="1:3" ht="13.8" x14ac:dyDescent="0.25">
      <c r="A6" s="32" t="s">
        <v>162</v>
      </c>
      <c r="B6" s="121">
        <f>'1.RSP Districts '!R226</f>
        <v>23</v>
      </c>
      <c r="C6" s="121">
        <f>'1.RSP Districts '!A226</f>
        <v>22</v>
      </c>
    </row>
    <row r="7" spans="1:3" ht="13.8" x14ac:dyDescent="0.25">
      <c r="A7" s="32" t="s">
        <v>230</v>
      </c>
      <c r="B7" s="121">
        <f>'1.RSP Districts '!R227+'1.RSP Districts '!R223</f>
        <v>37</v>
      </c>
      <c r="C7" s="121">
        <f>'1.RSP Districts '!A227+'1.RSP Districts '!A223</f>
        <v>37</v>
      </c>
    </row>
    <row r="8" spans="1:3" ht="13.8" x14ac:dyDescent="0.25">
      <c r="A8" s="32" t="s">
        <v>273</v>
      </c>
      <c r="B8" s="121">
        <f>'1.RSP Districts '!R228</f>
        <v>10</v>
      </c>
      <c r="C8" s="121">
        <f>'1.RSP Districts '!A228</f>
        <v>10</v>
      </c>
    </row>
    <row r="9" spans="1:3" ht="13.8" x14ac:dyDescent="0.25">
      <c r="A9" s="32" t="s">
        <v>210</v>
      </c>
      <c r="B9" s="121">
        <f>'1.RSP Districts '!R229</f>
        <v>7</v>
      </c>
      <c r="C9" s="121">
        <f>'1.RSP Districts '!A229</f>
        <v>6</v>
      </c>
    </row>
    <row r="10" spans="1:3" ht="13.8" x14ac:dyDescent="0.25">
      <c r="A10" s="32" t="s">
        <v>294</v>
      </c>
      <c r="B10" s="121">
        <f>'1.RSP Districts '!R230</f>
        <v>13</v>
      </c>
      <c r="C10" s="121">
        <f>'1.RSP Districts '!A230</f>
        <v>5</v>
      </c>
    </row>
    <row r="11" spans="1:3" ht="13.8" x14ac:dyDescent="0.25">
      <c r="A11" s="122" t="s">
        <v>231</v>
      </c>
      <c r="B11">
        <f>SUM(B4:B10)</f>
        <v>144</v>
      </c>
      <c r="C11">
        <f>SUM(C4:C10)</f>
        <v>120</v>
      </c>
    </row>
    <row r="15" spans="1:3" x14ac:dyDescent="0.25">
      <c r="A15" s="121" t="s">
        <v>203</v>
      </c>
      <c r="B15" s="121" t="s">
        <v>232</v>
      </c>
      <c r="C15" s="121" t="s">
        <v>233</v>
      </c>
    </row>
    <row r="16" spans="1:3" x14ac:dyDescent="0.25">
      <c r="A16" s="121" t="s">
        <v>161</v>
      </c>
      <c r="B16" s="121">
        <f>'1.RSP Districts '!C224</f>
        <v>547</v>
      </c>
      <c r="C16" s="121">
        <f>'1.RSP Districts '!E224</f>
        <v>284</v>
      </c>
    </row>
    <row r="17" spans="1:4" x14ac:dyDescent="0.25">
      <c r="A17" s="121" t="s">
        <v>209</v>
      </c>
      <c r="B17" s="121">
        <f>'1.RSP Districts '!C225</f>
        <v>964</v>
      </c>
      <c r="C17" s="121">
        <f>'1.RSP Districts '!E225</f>
        <v>559</v>
      </c>
    </row>
    <row r="18" spans="1:4" x14ac:dyDescent="0.25">
      <c r="A18" s="121" t="s">
        <v>162</v>
      </c>
      <c r="B18" s="121">
        <f>'1.RSP Districts '!C226</f>
        <v>921</v>
      </c>
      <c r="C18" s="121">
        <f>'1.RSP Districts '!E226</f>
        <v>691</v>
      </c>
    </row>
    <row r="19" spans="1:4" x14ac:dyDescent="0.25">
      <c r="A19" s="121" t="s">
        <v>230</v>
      </c>
      <c r="B19" s="121">
        <f>'1.RSP Districts '!C227+'1.RSP Districts '!C223</f>
        <v>2647</v>
      </c>
      <c r="C19" s="121">
        <f>'1.RSP Districts '!E227+'1.RSP Districts '!E223</f>
        <v>1794</v>
      </c>
    </row>
    <row r="20" spans="1:4" x14ac:dyDescent="0.25">
      <c r="A20" s="121" t="s">
        <v>273</v>
      </c>
      <c r="B20" s="121">
        <f>'1.RSP Districts '!C228</f>
        <v>196</v>
      </c>
      <c r="C20" s="121">
        <f>'1.RSP Districts '!E228</f>
        <v>180</v>
      </c>
    </row>
    <row r="21" spans="1:4" x14ac:dyDescent="0.25">
      <c r="A21" s="121" t="s">
        <v>210</v>
      </c>
      <c r="B21" s="121">
        <f>'1.RSP Districts '!C229</f>
        <v>103</v>
      </c>
      <c r="C21" s="121">
        <f>'1.RSP Districts '!E229</f>
        <v>94</v>
      </c>
    </row>
    <row r="22" spans="1:4" x14ac:dyDescent="0.25">
      <c r="A22" s="121" t="s">
        <v>294</v>
      </c>
      <c r="B22" s="121">
        <f>'1.RSP Districts '!C230</f>
        <v>190</v>
      </c>
      <c r="C22" s="121">
        <f>'1.RSP Districts '!E230</f>
        <v>15</v>
      </c>
    </row>
    <row r="23" spans="1:4" x14ac:dyDescent="0.25">
      <c r="A23" s="121" t="s">
        <v>204</v>
      </c>
      <c r="B23" s="121">
        <f>SUM(B16:B22)</f>
        <v>5568</v>
      </c>
      <c r="C23" s="121">
        <f>SUM(C16:C22)</f>
        <v>3617</v>
      </c>
    </row>
    <row r="24" spans="1:4" ht="13.8" thickBot="1" x14ac:dyDescent="0.3">
      <c r="C24" s="156">
        <f>C23/B23%</f>
        <v>64.960488505747122</v>
      </c>
    </row>
    <row r="25" spans="1:4" ht="13.8" x14ac:dyDescent="0.25">
      <c r="B25" s="123"/>
    </row>
    <row r="26" spans="1:4" ht="13.8" x14ac:dyDescent="0.25">
      <c r="B26" s="124"/>
    </row>
    <row r="27" spans="1:4" ht="12.75" customHeight="1" x14ac:dyDescent="0.25">
      <c r="A27" s="125" t="s">
        <v>203</v>
      </c>
      <c r="B27" s="121" t="s">
        <v>244</v>
      </c>
      <c r="C27" s="121" t="s">
        <v>234</v>
      </c>
      <c r="D27" s="121" t="s">
        <v>243</v>
      </c>
    </row>
    <row r="28" spans="1:4" ht="13.8" x14ac:dyDescent="0.25">
      <c r="A28" s="32" t="s">
        <v>161</v>
      </c>
      <c r="B28" s="126">
        <f>D28/C28%</f>
        <v>39.262654585963247</v>
      </c>
      <c r="C28" s="127">
        <f>'1.RSP Districts '!J224</f>
        <v>814191</v>
      </c>
      <c r="D28" s="127">
        <f>'1.RSP Districts '!L224</f>
        <v>319673</v>
      </c>
    </row>
    <row r="29" spans="1:4" ht="13.8" x14ac:dyDescent="0.25">
      <c r="A29" s="32" t="s">
        <v>209</v>
      </c>
      <c r="B29" s="126">
        <f t="shared" ref="B29:B35" si="0">D29/C29%</f>
        <v>50.428910674827925</v>
      </c>
      <c r="C29" s="127">
        <f>'1.RSP Districts '!J225</f>
        <v>1889904</v>
      </c>
      <c r="D29" s="127">
        <f>'1.RSP Districts '!L225</f>
        <v>953058</v>
      </c>
    </row>
    <row r="30" spans="1:4" ht="13.8" x14ac:dyDescent="0.25">
      <c r="A30" s="32" t="s">
        <v>162</v>
      </c>
      <c r="B30" s="126">
        <f t="shared" si="0"/>
        <v>42.199960276292614</v>
      </c>
      <c r="C30" s="127">
        <f>'1.RSP Districts '!J226</f>
        <v>2816903.1255411254</v>
      </c>
      <c r="D30" s="127">
        <f>'1.RSP Districts '!L226</f>
        <v>1188732</v>
      </c>
    </row>
    <row r="31" spans="1:4" ht="13.8" x14ac:dyDescent="0.25">
      <c r="A31" s="32" t="s">
        <v>230</v>
      </c>
      <c r="B31" s="126">
        <f t="shared" si="0"/>
        <v>49.226491714526908</v>
      </c>
      <c r="C31" s="127">
        <f>'1.RSP Districts '!J227+'1.RSP Districts '!J223</f>
        <v>6107707.2431565113</v>
      </c>
      <c r="D31" s="127">
        <f>'1.RSP Districts '!L227+'1.RSP Districts '!L223</f>
        <v>3006610</v>
      </c>
    </row>
    <row r="32" spans="1:4" ht="13.8" x14ac:dyDescent="0.25">
      <c r="A32" s="32" t="s">
        <v>273</v>
      </c>
      <c r="B32" s="126">
        <f t="shared" si="0"/>
        <v>72.536093609497556</v>
      </c>
      <c r="C32" s="127">
        <f>'1.RSP Districts '!J228</f>
        <v>398969.65165781637</v>
      </c>
      <c r="D32" s="127">
        <f>'1.RSP Districts '!L228</f>
        <v>289397</v>
      </c>
    </row>
    <row r="33" spans="1:5" ht="13.8" x14ac:dyDescent="0.25">
      <c r="A33" s="32" t="s">
        <v>210</v>
      </c>
      <c r="B33" s="126">
        <f t="shared" si="0"/>
        <v>69.747920669136846</v>
      </c>
      <c r="C33" s="127">
        <f>'1.RSP Districts '!J229</f>
        <v>108649.83396348439</v>
      </c>
      <c r="D33" s="127">
        <f>'1.RSP Districts '!L229</f>
        <v>75781</v>
      </c>
    </row>
    <row r="34" spans="1:5" ht="13.8" x14ac:dyDescent="0.25">
      <c r="A34" s="32" t="s">
        <v>294</v>
      </c>
      <c r="B34" s="126">
        <f t="shared" si="0"/>
        <v>4.0523827196296018</v>
      </c>
      <c r="C34" s="127">
        <f>'1.RSP Districts '!J230</f>
        <v>343649.6738707067</v>
      </c>
      <c r="D34" s="127">
        <f>'1.RSP Districts '!L230</f>
        <v>13926</v>
      </c>
    </row>
    <row r="35" spans="1:5" ht="13.8" x14ac:dyDescent="0.25">
      <c r="A35" s="128" t="s">
        <v>16</v>
      </c>
      <c r="B35" s="126">
        <f t="shared" si="0"/>
        <v>46.852475434084056</v>
      </c>
      <c r="C35" s="127">
        <f>SUM(C28:C34)</f>
        <v>12479974.528189642</v>
      </c>
      <c r="D35" s="127">
        <f>SUM(D28:D34)</f>
        <v>5847177</v>
      </c>
      <c r="E35" s="98">
        <f>D35/1000000</f>
        <v>5.8471770000000003</v>
      </c>
    </row>
    <row r="36" spans="1:5" x14ac:dyDescent="0.25">
      <c r="D36" s="98">
        <f>D35*6.5</f>
        <v>38006650.5</v>
      </c>
    </row>
    <row r="37" spans="1:5" x14ac:dyDescent="0.25">
      <c r="D37" s="156">
        <f>D36/1000000</f>
        <v>38.006650499999999</v>
      </c>
    </row>
  </sheetData>
  <phoneticPr fontId="3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W262"/>
  <sheetViews>
    <sheetView view="pageBreakPreview" zoomScale="73" zoomScaleNormal="87" zoomScaleSheetLayoutView="73" workbookViewId="0">
      <pane xSplit="2" ySplit="3" topLeftCell="F64" activePane="bottomRight" state="frozen"/>
      <selection activeCell="G51" sqref="G51"/>
      <selection pane="topRight" activeCell="G51" sqref="G51"/>
      <selection pane="bottomLeft" activeCell="G51" sqref="G51"/>
      <selection pane="bottomRight" activeCell="P217" sqref="P217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9" width="15.5546875" style="136" customWidth="1"/>
    <col min="10" max="10" width="20.88671875" style="11" customWidth="1"/>
    <col min="11" max="14" width="15.5546875" style="9" customWidth="1"/>
    <col min="15" max="17" width="15.5546875" style="11" customWidth="1"/>
    <col min="18" max="18" width="13" style="3" bestFit="1" customWidth="1"/>
    <col min="19" max="16384" width="9.109375" style="1"/>
  </cols>
  <sheetData>
    <row r="1" spans="1:23" ht="14.4" thickBot="1" x14ac:dyDescent="0.3">
      <c r="A1" s="274" t="s">
        <v>319</v>
      </c>
      <c r="B1" s="274"/>
      <c r="C1" s="274"/>
      <c r="D1" s="274"/>
      <c r="E1" s="274"/>
      <c r="F1" s="274"/>
      <c r="G1" s="274"/>
      <c r="H1" s="275"/>
      <c r="I1" s="275"/>
      <c r="J1" s="274"/>
      <c r="K1" s="274"/>
      <c r="L1" s="274"/>
      <c r="M1" s="274"/>
      <c r="N1" s="274"/>
      <c r="O1" s="274"/>
      <c r="P1" s="274"/>
      <c r="Q1" s="274"/>
      <c r="R1" s="274"/>
    </row>
    <row r="2" spans="1:23" ht="53.25" customHeight="1" x14ac:dyDescent="0.25">
      <c r="A2" s="276" t="s">
        <v>27</v>
      </c>
      <c r="B2" s="278" t="s">
        <v>28</v>
      </c>
      <c r="C2" s="278" t="s">
        <v>199</v>
      </c>
      <c r="D2" s="270" t="s">
        <v>240</v>
      </c>
      <c r="E2" s="270"/>
      <c r="F2" s="270"/>
      <c r="G2" s="271"/>
      <c r="H2" s="272" t="s">
        <v>311</v>
      </c>
      <c r="I2" s="282" t="s">
        <v>322</v>
      </c>
      <c r="J2" s="278" t="s">
        <v>30</v>
      </c>
      <c r="K2" s="270" t="s">
        <v>241</v>
      </c>
      <c r="L2" s="270"/>
      <c r="M2" s="270"/>
      <c r="N2" s="271"/>
      <c r="O2" s="278" t="s">
        <v>274</v>
      </c>
      <c r="P2" s="278"/>
      <c r="Q2" s="278"/>
      <c r="R2" s="280" t="s">
        <v>29</v>
      </c>
    </row>
    <row r="3" spans="1:23" ht="49.5" customHeight="1" thickBot="1" x14ac:dyDescent="0.3">
      <c r="A3" s="277"/>
      <c r="B3" s="279"/>
      <c r="C3" s="279"/>
      <c r="D3" s="87" t="s">
        <v>310</v>
      </c>
      <c r="E3" s="133" t="s">
        <v>320</v>
      </c>
      <c r="F3" s="87" t="s">
        <v>219</v>
      </c>
      <c r="G3" s="87" t="s">
        <v>321</v>
      </c>
      <c r="H3" s="273"/>
      <c r="I3" s="283"/>
      <c r="J3" s="279"/>
      <c r="K3" s="87" t="s">
        <v>310</v>
      </c>
      <c r="L3" s="133" t="s">
        <v>320</v>
      </c>
      <c r="M3" s="87" t="s">
        <v>219</v>
      </c>
      <c r="N3" s="87" t="s">
        <v>321</v>
      </c>
      <c r="O3" s="87" t="s">
        <v>310</v>
      </c>
      <c r="P3" s="133" t="s">
        <v>320</v>
      </c>
      <c r="Q3" s="87" t="s">
        <v>219</v>
      </c>
      <c r="R3" s="281"/>
      <c r="S3" s="1">
        <v>1</v>
      </c>
    </row>
    <row r="4" spans="1:23" ht="6.75" customHeight="1" thickBot="1" x14ac:dyDescent="0.35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1">
        <v>1</v>
      </c>
    </row>
    <row r="5" spans="1:23" ht="21.75" customHeight="1" x14ac:dyDescent="0.25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21"/>
      <c r="S5" s="1">
        <v>1</v>
      </c>
    </row>
    <row r="6" spans="1:23" hidden="1" x14ac:dyDescent="0.25">
      <c r="A6" s="36">
        <v>1</v>
      </c>
      <c r="B6" s="37" t="s">
        <v>32</v>
      </c>
      <c r="C6" s="38">
        <v>12</v>
      </c>
      <c r="D6" s="38">
        <v>12</v>
      </c>
      <c r="E6" s="38">
        <v>12</v>
      </c>
      <c r="F6" s="134">
        <f>(E6-D6)/D6%</f>
        <v>0</v>
      </c>
      <c r="G6" s="134">
        <f>E6/C6%</f>
        <v>100</v>
      </c>
      <c r="H6" s="38">
        <v>722</v>
      </c>
      <c r="I6" s="38">
        <v>722</v>
      </c>
      <c r="J6" s="38">
        <v>43884</v>
      </c>
      <c r="K6" s="38">
        <v>26328</v>
      </c>
      <c r="L6" s="38">
        <v>26391</v>
      </c>
      <c r="M6" s="134">
        <f>(L6-K6)/K6%</f>
        <v>0.23928896991795809</v>
      </c>
      <c r="N6" s="134">
        <f>L6/J6%</f>
        <v>60.13809133169265</v>
      </c>
      <c r="O6" s="38">
        <v>1601</v>
      </c>
      <c r="P6" s="38">
        <v>1605</v>
      </c>
      <c r="Q6" s="134">
        <f>(P6-O6)/O6%</f>
        <v>0.24984384759525294</v>
      </c>
      <c r="R6" s="153" t="s">
        <v>5</v>
      </c>
      <c r="S6" s="1">
        <v>1</v>
      </c>
      <c r="W6" s="220">
        <f>I6-'[2]1.RSP Districts '!I6</f>
        <v>722</v>
      </c>
    </row>
    <row r="7" spans="1:23" s="4" customFormat="1" ht="14.4" hidden="1" thickBot="1" x14ac:dyDescent="0.3">
      <c r="A7" s="150">
        <f>A6</f>
        <v>1</v>
      </c>
      <c r="B7" s="152" t="s">
        <v>33</v>
      </c>
      <c r="C7" s="56">
        <f>C6</f>
        <v>12</v>
      </c>
      <c r="D7" s="56">
        <f>D6</f>
        <v>12</v>
      </c>
      <c r="E7" s="56">
        <f>E6</f>
        <v>12</v>
      </c>
      <c r="F7" s="149">
        <f>(E7-D7)/D7%</f>
        <v>0</v>
      </c>
      <c r="G7" s="149">
        <f>E7/C7%</f>
        <v>100</v>
      </c>
      <c r="H7" s="149">
        <f>H6</f>
        <v>722</v>
      </c>
      <c r="I7" s="149">
        <f>I6</f>
        <v>722</v>
      </c>
      <c r="J7" s="56">
        <f>J6</f>
        <v>43884</v>
      </c>
      <c r="K7" s="56">
        <f>K6</f>
        <v>26328</v>
      </c>
      <c r="L7" s="56">
        <f>L6</f>
        <v>26391</v>
      </c>
      <c r="M7" s="149">
        <f>(L7-K7)/K7%</f>
        <v>0.23928896991795809</v>
      </c>
      <c r="N7" s="149">
        <f>L7/J7%</f>
        <v>60.13809133169265</v>
      </c>
      <c r="O7" s="56">
        <f>O6</f>
        <v>1601</v>
      </c>
      <c r="P7" s="56">
        <f>P6</f>
        <v>1605</v>
      </c>
      <c r="Q7" s="149">
        <f>(P7-O7)/O7%</f>
        <v>0.24984384759525294</v>
      </c>
      <c r="R7" s="151"/>
      <c r="S7" s="1">
        <v>1</v>
      </c>
    </row>
    <row r="8" spans="1:23" ht="4.5" hidden="1" customHeight="1" thickBot="1" x14ac:dyDescent="0.35">
      <c r="A8" s="12"/>
      <c r="B8" s="13"/>
      <c r="C8" s="58"/>
      <c r="D8" s="27"/>
      <c r="E8" s="27"/>
      <c r="F8" s="103"/>
      <c r="G8" s="103"/>
      <c r="H8" s="103"/>
      <c r="I8" s="103"/>
      <c r="J8" s="58"/>
      <c r="K8" s="27"/>
      <c r="L8" s="27"/>
      <c r="M8" s="27"/>
      <c r="N8" s="27"/>
      <c r="O8" s="27"/>
      <c r="P8" s="27"/>
      <c r="Q8" s="27"/>
      <c r="R8" s="14"/>
      <c r="S8" s="1">
        <v>1</v>
      </c>
    </row>
    <row r="9" spans="1:23" hidden="1" x14ac:dyDescent="0.25">
      <c r="A9" s="17" t="s">
        <v>34</v>
      </c>
      <c r="B9" s="18"/>
      <c r="C9" s="19"/>
      <c r="D9" s="28"/>
      <c r="E9" s="28"/>
      <c r="F9" s="104"/>
      <c r="G9" s="104"/>
      <c r="H9" s="104"/>
      <c r="I9" s="104"/>
      <c r="J9" s="19"/>
      <c r="K9" s="28"/>
      <c r="L9" s="28"/>
      <c r="M9" s="28"/>
      <c r="N9" s="28"/>
      <c r="O9" s="28"/>
      <c r="P9" s="28"/>
      <c r="Q9" s="28"/>
      <c r="R9" s="21"/>
      <c r="S9" s="1">
        <v>1</v>
      </c>
    </row>
    <row r="10" spans="1:23" hidden="1" x14ac:dyDescent="0.25">
      <c r="A10" s="22">
        <v>1</v>
      </c>
      <c r="B10" s="23" t="s">
        <v>35</v>
      </c>
      <c r="C10" s="24">
        <v>8</v>
      </c>
      <c r="D10" s="38">
        <v>8</v>
      </c>
      <c r="E10" s="38">
        <v>8</v>
      </c>
      <c r="F10" s="102">
        <f>(E10-D10)/D10%</f>
        <v>0</v>
      </c>
      <c r="G10" s="102">
        <f>E10/C10%</f>
        <v>100</v>
      </c>
      <c r="H10" s="38">
        <v>118</v>
      </c>
      <c r="I10" s="38">
        <v>118</v>
      </c>
      <c r="J10" s="24">
        <v>22144</v>
      </c>
      <c r="K10" s="38">
        <v>9890</v>
      </c>
      <c r="L10" s="38">
        <v>9890</v>
      </c>
      <c r="M10" s="102">
        <f>(L10-K10)/K10%</f>
        <v>0</v>
      </c>
      <c r="N10" s="102">
        <f t="shared" ref="N10:N40" si="0">L10/J10%</f>
        <v>44.662210982658962</v>
      </c>
      <c r="O10" s="38">
        <v>598</v>
      </c>
      <c r="P10" s="38">
        <v>598</v>
      </c>
      <c r="Q10" s="102">
        <f t="shared" ref="Q10:Q40" si="1">(P10-O10)/O10%</f>
        <v>0</v>
      </c>
      <c r="R10" s="26" t="s">
        <v>5</v>
      </c>
      <c r="S10" s="1">
        <v>1</v>
      </c>
      <c r="W10" s="220">
        <f>I10-'[2]1.RSP Districts '!I10</f>
        <v>118</v>
      </c>
    </row>
    <row r="11" spans="1:23" hidden="1" x14ac:dyDescent="0.25">
      <c r="A11" s="22">
        <v>2</v>
      </c>
      <c r="B11" s="23" t="s">
        <v>168</v>
      </c>
      <c r="C11" s="24">
        <v>8</v>
      </c>
      <c r="D11" s="38">
        <v>0</v>
      </c>
      <c r="E11" s="38"/>
      <c r="F11" s="102">
        <v>0</v>
      </c>
      <c r="G11" s="102">
        <f t="shared" ref="G11:G40" si="2">E11/C11%</f>
        <v>0</v>
      </c>
      <c r="H11" s="102"/>
      <c r="I11" s="102"/>
      <c r="J11" s="24">
        <v>13787</v>
      </c>
      <c r="K11" s="24"/>
      <c r="L11" s="24"/>
      <c r="M11" s="102">
        <v>0</v>
      </c>
      <c r="N11" s="102">
        <v>0</v>
      </c>
      <c r="O11" s="24"/>
      <c r="P11" s="25"/>
      <c r="Q11" s="102">
        <v>0</v>
      </c>
      <c r="R11" s="79">
        <v>0</v>
      </c>
      <c r="S11" s="1">
        <v>1</v>
      </c>
    </row>
    <row r="12" spans="1:23" hidden="1" x14ac:dyDescent="0.25">
      <c r="A12" s="22">
        <v>3</v>
      </c>
      <c r="B12" s="23" t="s">
        <v>36</v>
      </c>
      <c r="C12" s="24">
        <v>27</v>
      </c>
      <c r="D12" s="38">
        <v>1</v>
      </c>
      <c r="E12" s="38">
        <f>'[3]1.RSP Districts '!E12</f>
        <v>1</v>
      </c>
      <c r="F12" s="102">
        <f t="shared" ref="F12:F40" si="3">(E12-D12)/D12%</f>
        <v>0</v>
      </c>
      <c r="G12" s="102">
        <f t="shared" si="2"/>
        <v>3.7037037037037033</v>
      </c>
      <c r="H12" s="38">
        <v>6</v>
      </c>
      <c r="I12" s="38">
        <f>'[3]1.RSP Districts '!I12</f>
        <v>6</v>
      </c>
      <c r="J12" s="24">
        <v>35003</v>
      </c>
      <c r="K12" s="38">
        <v>2434</v>
      </c>
      <c r="L12" s="38">
        <f>'[3]1.RSP Districts '!L12</f>
        <v>2434</v>
      </c>
      <c r="M12" s="102">
        <f t="shared" ref="M12:M38" si="4">(L12-K12)/K12%</f>
        <v>0</v>
      </c>
      <c r="N12" s="102">
        <f t="shared" si="0"/>
        <v>6.953689683741394</v>
      </c>
      <c r="O12" s="38">
        <v>109</v>
      </c>
      <c r="P12" s="38">
        <f>'[3]1.RSP Districts '!P12</f>
        <v>109</v>
      </c>
      <c r="Q12" s="102">
        <f t="shared" si="1"/>
        <v>0</v>
      </c>
      <c r="R12" s="26" t="s">
        <v>3</v>
      </c>
      <c r="S12" s="1">
        <v>1</v>
      </c>
    </row>
    <row r="13" spans="1:23" hidden="1" x14ac:dyDescent="0.25">
      <c r="A13" s="22">
        <v>4</v>
      </c>
      <c r="B13" s="23" t="s">
        <v>169</v>
      </c>
      <c r="C13" s="24">
        <v>10</v>
      </c>
      <c r="D13" s="38"/>
      <c r="E13" s="38"/>
      <c r="F13" s="102">
        <v>0</v>
      </c>
      <c r="G13" s="102">
        <f t="shared" si="2"/>
        <v>0</v>
      </c>
      <c r="H13" s="102"/>
      <c r="I13" s="102"/>
      <c r="J13" s="162">
        <v>13570</v>
      </c>
      <c r="K13" s="24"/>
      <c r="L13" s="24"/>
      <c r="M13" s="102">
        <v>0</v>
      </c>
      <c r="N13" s="102">
        <v>0</v>
      </c>
      <c r="O13" s="24"/>
      <c r="P13" s="25"/>
      <c r="Q13" s="102">
        <v>0</v>
      </c>
      <c r="R13" s="79">
        <v>0</v>
      </c>
      <c r="S13" s="1">
        <v>1</v>
      </c>
    </row>
    <row r="14" spans="1:23" hidden="1" x14ac:dyDescent="0.25">
      <c r="A14" s="22">
        <v>5</v>
      </c>
      <c r="B14" s="23" t="s">
        <v>170</v>
      </c>
      <c r="C14" s="24">
        <v>12</v>
      </c>
      <c r="D14" s="38"/>
      <c r="E14" s="38"/>
      <c r="F14" s="102">
        <v>0</v>
      </c>
      <c r="G14" s="102">
        <f t="shared" si="2"/>
        <v>0</v>
      </c>
      <c r="H14" s="102"/>
      <c r="I14" s="102"/>
      <c r="J14" s="162">
        <v>27337</v>
      </c>
      <c r="K14" s="24"/>
      <c r="L14" s="24"/>
      <c r="M14" s="102">
        <v>0</v>
      </c>
      <c r="N14" s="102">
        <v>0</v>
      </c>
      <c r="O14" s="24"/>
      <c r="P14" s="25"/>
      <c r="Q14" s="102">
        <v>0</v>
      </c>
      <c r="R14" s="79">
        <v>0</v>
      </c>
      <c r="S14" s="1">
        <v>1</v>
      </c>
    </row>
    <row r="15" spans="1:23" hidden="1" x14ac:dyDescent="0.25">
      <c r="A15" s="22">
        <v>6</v>
      </c>
      <c r="B15" s="23" t="s">
        <v>37</v>
      </c>
      <c r="C15" s="24">
        <v>13</v>
      </c>
      <c r="D15" s="38">
        <v>13</v>
      </c>
      <c r="E15" s="38">
        <v>13</v>
      </c>
      <c r="F15" s="102">
        <f t="shared" si="3"/>
        <v>0</v>
      </c>
      <c r="G15" s="102">
        <f t="shared" si="2"/>
        <v>100</v>
      </c>
      <c r="H15" s="38">
        <v>144</v>
      </c>
      <c r="I15" s="38">
        <v>144</v>
      </c>
      <c r="J15" s="24">
        <v>16691</v>
      </c>
      <c r="K15" s="38">
        <v>19324</v>
      </c>
      <c r="L15" s="38">
        <v>36326</v>
      </c>
      <c r="M15" s="102">
        <f t="shared" si="4"/>
        <v>87.983854274477324</v>
      </c>
      <c r="N15" s="102">
        <f t="shared" si="0"/>
        <v>217.63824815768979</v>
      </c>
      <c r="O15" s="38">
        <v>863</v>
      </c>
      <c r="P15" s="38">
        <v>1909</v>
      </c>
      <c r="Q15" s="102">
        <f t="shared" si="1"/>
        <v>121.20509849362688</v>
      </c>
      <c r="R15" s="26" t="s">
        <v>5</v>
      </c>
      <c r="S15" s="1">
        <v>1</v>
      </c>
      <c r="W15" s="220">
        <f>I15-'[2]1.RSP Districts '!I15</f>
        <v>144</v>
      </c>
    </row>
    <row r="16" spans="1:23" hidden="1" x14ac:dyDescent="0.25">
      <c r="A16" s="22">
        <v>7</v>
      </c>
      <c r="B16" s="23" t="s">
        <v>171</v>
      </c>
      <c r="C16" s="24">
        <v>10</v>
      </c>
      <c r="D16" s="38"/>
      <c r="E16" s="38"/>
      <c r="F16" s="102">
        <v>0</v>
      </c>
      <c r="G16" s="102">
        <f t="shared" si="2"/>
        <v>0</v>
      </c>
      <c r="H16" s="102"/>
      <c r="I16" s="102"/>
      <c r="J16" s="24">
        <v>0</v>
      </c>
      <c r="K16" s="24"/>
      <c r="L16" s="24"/>
      <c r="M16" s="102">
        <v>0</v>
      </c>
      <c r="N16" s="102">
        <v>0</v>
      </c>
      <c r="O16" s="24"/>
      <c r="P16" s="25"/>
      <c r="Q16" s="102">
        <v>0</v>
      </c>
      <c r="R16" s="79">
        <v>0</v>
      </c>
      <c r="S16" s="1">
        <v>1</v>
      </c>
    </row>
    <row r="17" spans="1:23" hidden="1" x14ac:dyDescent="0.25">
      <c r="A17" s="22">
        <v>8</v>
      </c>
      <c r="B17" s="23" t="s">
        <v>38</v>
      </c>
      <c r="C17" s="24">
        <v>9</v>
      </c>
      <c r="D17" s="38">
        <v>9</v>
      </c>
      <c r="E17" s="38">
        <f>'[3]1.RSP Districts '!E17</f>
        <v>9</v>
      </c>
      <c r="F17" s="102">
        <f t="shared" si="3"/>
        <v>0</v>
      </c>
      <c r="G17" s="102">
        <f t="shared" si="2"/>
        <v>100</v>
      </c>
      <c r="H17" s="38">
        <v>98</v>
      </c>
      <c r="I17" s="38">
        <f>'[3]1.RSP Districts '!I17</f>
        <v>98</v>
      </c>
      <c r="J17" s="24">
        <v>16184</v>
      </c>
      <c r="K17" s="38">
        <v>10938</v>
      </c>
      <c r="L17" s="38">
        <f>'[3]1.RSP Districts '!L17</f>
        <v>13190</v>
      </c>
      <c r="M17" s="102">
        <f t="shared" si="4"/>
        <v>20.588773084658989</v>
      </c>
      <c r="N17" s="102">
        <f t="shared" si="0"/>
        <v>81.500247157686601</v>
      </c>
      <c r="O17" s="38">
        <v>659</v>
      </c>
      <c r="P17" s="38">
        <f>'[3]1.RSP Districts '!P17</f>
        <v>756</v>
      </c>
      <c r="Q17" s="102">
        <f t="shared" si="1"/>
        <v>14.719271623672231</v>
      </c>
      <c r="R17" s="26" t="s">
        <v>3</v>
      </c>
      <c r="S17" s="1">
        <v>1</v>
      </c>
    </row>
    <row r="18" spans="1:23" hidden="1" x14ac:dyDescent="0.25">
      <c r="A18" s="22">
        <v>9</v>
      </c>
      <c r="B18" s="23" t="s">
        <v>39</v>
      </c>
      <c r="C18" s="24">
        <v>46</v>
      </c>
      <c r="D18" s="38">
        <v>29</v>
      </c>
      <c r="E18" s="38">
        <f>'[3]1.RSP Districts '!E18</f>
        <v>29</v>
      </c>
      <c r="F18" s="102">
        <f t="shared" si="3"/>
        <v>0</v>
      </c>
      <c r="G18" s="102">
        <f t="shared" si="2"/>
        <v>63.043478260869563</v>
      </c>
      <c r="H18" s="38">
        <v>41</v>
      </c>
      <c r="I18" s="38">
        <f>'[3]1.RSP Districts '!I18</f>
        <v>41</v>
      </c>
      <c r="J18" s="24">
        <v>52664</v>
      </c>
      <c r="K18" s="38">
        <v>8739</v>
      </c>
      <c r="L18" s="38">
        <f>'[3]1.RSP Districts '!L18</f>
        <v>8739</v>
      </c>
      <c r="M18" s="102">
        <f t="shared" si="4"/>
        <v>0</v>
      </c>
      <c r="N18" s="102">
        <f t="shared" si="0"/>
        <v>16.593878171046637</v>
      </c>
      <c r="O18" s="38">
        <v>163</v>
      </c>
      <c r="P18" s="38">
        <f>'[3]1.RSP Districts '!P18</f>
        <v>163</v>
      </c>
      <c r="Q18" s="102">
        <f t="shared" si="1"/>
        <v>0</v>
      </c>
      <c r="R18" s="26" t="s">
        <v>3</v>
      </c>
      <c r="S18" s="1">
        <v>1</v>
      </c>
    </row>
    <row r="19" spans="1:23" hidden="1" x14ac:dyDescent="0.25">
      <c r="A19" s="22">
        <v>10</v>
      </c>
      <c r="B19" s="23" t="s">
        <v>40</v>
      </c>
      <c r="C19" s="24">
        <v>18</v>
      </c>
      <c r="D19" s="38">
        <v>15</v>
      </c>
      <c r="E19" s="38">
        <f>'[3]1.RSP Districts '!E19</f>
        <v>15</v>
      </c>
      <c r="F19" s="102">
        <f t="shared" si="3"/>
        <v>0</v>
      </c>
      <c r="G19" s="102">
        <f t="shared" si="2"/>
        <v>83.333333333333343</v>
      </c>
      <c r="H19" s="38">
        <v>226</v>
      </c>
      <c r="I19" s="38">
        <f>'[3]1.RSP Districts '!I19</f>
        <v>226</v>
      </c>
      <c r="J19" s="24">
        <v>31396</v>
      </c>
      <c r="K19" s="38">
        <v>28829</v>
      </c>
      <c r="L19" s="38">
        <f>'[3]1.RSP Districts '!L19</f>
        <v>28829</v>
      </c>
      <c r="M19" s="102">
        <f t="shared" si="4"/>
        <v>0</v>
      </c>
      <c r="N19" s="102">
        <f t="shared" si="0"/>
        <v>91.823799210090456</v>
      </c>
      <c r="O19" s="38">
        <v>1870</v>
      </c>
      <c r="P19" s="38">
        <f>'[3]1.RSP Districts '!P19</f>
        <v>1870</v>
      </c>
      <c r="Q19" s="102">
        <f t="shared" si="1"/>
        <v>0</v>
      </c>
      <c r="R19" s="26" t="s">
        <v>3</v>
      </c>
      <c r="S19" s="1">
        <v>1</v>
      </c>
    </row>
    <row r="20" spans="1:23" hidden="1" x14ac:dyDescent="0.25">
      <c r="A20" s="22">
        <v>11</v>
      </c>
      <c r="B20" s="23" t="s">
        <v>41</v>
      </c>
      <c r="C20" s="24">
        <v>38</v>
      </c>
      <c r="D20" s="38">
        <v>38</v>
      </c>
      <c r="E20" s="38">
        <v>38</v>
      </c>
      <c r="F20" s="102">
        <f t="shared" si="3"/>
        <v>0</v>
      </c>
      <c r="G20" s="102">
        <f t="shared" si="2"/>
        <v>100</v>
      </c>
      <c r="H20" s="38">
        <v>357</v>
      </c>
      <c r="I20" s="38">
        <v>357</v>
      </c>
      <c r="J20" s="24">
        <v>70164</v>
      </c>
      <c r="K20" s="38">
        <v>48595</v>
      </c>
      <c r="L20" s="38">
        <v>48595</v>
      </c>
      <c r="M20" s="102">
        <f t="shared" si="4"/>
        <v>0</v>
      </c>
      <c r="N20" s="102">
        <f t="shared" si="0"/>
        <v>69.259164243771735</v>
      </c>
      <c r="O20" s="38">
        <v>2246</v>
      </c>
      <c r="P20" s="38">
        <v>2246</v>
      </c>
      <c r="Q20" s="102">
        <f t="shared" si="1"/>
        <v>0</v>
      </c>
      <c r="R20" s="26" t="s">
        <v>5</v>
      </c>
      <c r="S20" s="1">
        <v>1</v>
      </c>
      <c r="W20" s="220">
        <f>I20-'[2]1.RSP Districts '!I20</f>
        <v>357</v>
      </c>
    </row>
    <row r="21" spans="1:23" hidden="1" x14ac:dyDescent="0.25">
      <c r="A21" s="22">
        <v>12</v>
      </c>
      <c r="B21" s="23" t="s">
        <v>42</v>
      </c>
      <c r="C21" s="24">
        <v>7</v>
      </c>
      <c r="D21" s="38">
        <v>7</v>
      </c>
      <c r="E21" s="38">
        <f>'[3]1.RSP Districts '!E21</f>
        <v>7</v>
      </c>
      <c r="F21" s="102">
        <f t="shared" si="3"/>
        <v>0</v>
      </c>
      <c r="G21" s="102">
        <f t="shared" si="2"/>
        <v>99.999999999999986</v>
      </c>
      <c r="H21" s="38">
        <v>137</v>
      </c>
      <c r="I21" s="38">
        <f>'[3]1.RSP Districts '!I21</f>
        <v>137</v>
      </c>
      <c r="J21" s="24">
        <v>14328.125</v>
      </c>
      <c r="K21" s="38">
        <v>15739</v>
      </c>
      <c r="L21" s="38">
        <f>'[3]1.RSP Districts '!L21</f>
        <v>15739</v>
      </c>
      <c r="M21" s="102">
        <f t="shared" si="4"/>
        <v>0</v>
      </c>
      <c r="N21" s="102">
        <f t="shared" si="0"/>
        <v>109.84689203925845</v>
      </c>
      <c r="O21" s="38">
        <v>942</v>
      </c>
      <c r="P21" s="38">
        <f>'[3]1.RSP Districts '!P21</f>
        <v>942</v>
      </c>
      <c r="Q21" s="102">
        <f t="shared" si="1"/>
        <v>0</v>
      </c>
      <c r="R21" s="26" t="s">
        <v>3</v>
      </c>
      <c r="S21" s="1">
        <v>1</v>
      </c>
    </row>
    <row r="22" spans="1:23" hidden="1" x14ac:dyDescent="0.25">
      <c r="A22" s="22">
        <v>13</v>
      </c>
      <c r="B22" s="23" t="s">
        <v>43</v>
      </c>
      <c r="C22" s="24">
        <v>35</v>
      </c>
      <c r="D22" s="38">
        <v>28</v>
      </c>
      <c r="E22" s="38">
        <f>'[3]1.RSP Districts '!E22</f>
        <v>28</v>
      </c>
      <c r="F22" s="102">
        <f t="shared" si="3"/>
        <v>0</v>
      </c>
      <c r="G22" s="102">
        <f t="shared" si="2"/>
        <v>80</v>
      </c>
      <c r="H22" s="38">
        <v>217</v>
      </c>
      <c r="I22" s="38">
        <f>'[3]1.RSP Districts '!I22</f>
        <v>217</v>
      </c>
      <c r="J22" s="24">
        <v>60032</v>
      </c>
      <c r="K22" s="38">
        <v>35045</v>
      </c>
      <c r="L22" s="38">
        <f>'[3]1.RSP Districts '!L22</f>
        <v>37069</v>
      </c>
      <c r="M22" s="102">
        <f t="shared" si="4"/>
        <v>5.7754315879583391</v>
      </c>
      <c r="N22" s="102">
        <f t="shared" si="0"/>
        <v>61.748734008528778</v>
      </c>
      <c r="O22" s="38">
        <v>2123</v>
      </c>
      <c r="P22" s="38">
        <f>'[3]1.RSP Districts '!P22</f>
        <v>2169</v>
      </c>
      <c r="Q22" s="102">
        <f t="shared" si="1"/>
        <v>2.1667451719265189</v>
      </c>
      <c r="R22" s="26" t="s">
        <v>3</v>
      </c>
      <c r="S22" s="1">
        <v>1</v>
      </c>
    </row>
    <row r="23" spans="1:23" hidden="1" x14ac:dyDescent="0.25">
      <c r="A23" s="22">
        <v>14</v>
      </c>
      <c r="B23" s="23" t="s">
        <v>172</v>
      </c>
      <c r="C23" s="24">
        <v>25</v>
      </c>
      <c r="D23" s="38"/>
      <c r="E23" s="38"/>
      <c r="F23" s="102">
        <v>0</v>
      </c>
      <c r="G23" s="102">
        <f t="shared" si="2"/>
        <v>0</v>
      </c>
      <c r="H23" s="102">
        <v>0</v>
      </c>
      <c r="I23" s="102">
        <v>0</v>
      </c>
      <c r="J23" s="163">
        <v>44863</v>
      </c>
      <c r="K23" s="24">
        <v>0</v>
      </c>
      <c r="L23" s="24">
        <v>0</v>
      </c>
      <c r="M23" s="102">
        <v>0</v>
      </c>
      <c r="N23" s="102">
        <v>0</v>
      </c>
      <c r="O23" s="24">
        <v>0</v>
      </c>
      <c r="P23" s="25">
        <v>0</v>
      </c>
      <c r="Q23" s="102">
        <v>0</v>
      </c>
      <c r="R23" s="79">
        <v>0</v>
      </c>
      <c r="S23" s="1">
        <v>1</v>
      </c>
    </row>
    <row r="24" spans="1:23" hidden="1" x14ac:dyDescent="0.25">
      <c r="A24" s="22">
        <v>15</v>
      </c>
      <c r="B24" s="23" t="s">
        <v>44</v>
      </c>
      <c r="C24" s="24">
        <v>15</v>
      </c>
      <c r="D24" s="38">
        <v>13</v>
      </c>
      <c r="E24" s="38">
        <f>'[3]1.RSP Districts '!E24</f>
        <v>13</v>
      </c>
      <c r="F24" s="102">
        <f t="shared" si="3"/>
        <v>0</v>
      </c>
      <c r="G24" s="102">
        <f t="shared" si="2"/>
        <v>86.666666666666671</v>
      </c>
      <c r="H24" s="38">
        <v>131</v>
      </c>
      <c r="I24" s="38">
        <f>'[3]1.RSP Districts '!I24</f>
        <v>131</v>
      </c>
      <c r="J24" s="24">
        <v>28796</v>
      </c>
      <c r="K24" s="38">
        <v>19117</v>
      </c>
      <c r="L24" s="38">
        <f>'[3]1.RSP Districts '!L24</f>
        <v>19117</v>
      </c>
      <c r="M24" s="102">
        <f t="shared" si="4"/>
        <v>0</v>
      </c>
      <c r="N24" s="102">
        <f t="shared" si="0"/>
        <v>66.387692735102107</v>
      </c>
      <c r="O24" s="38">
        <v>1220</v>
      </c>
      <c r="P24" s="38">
        <f>'[3]1.RSP Districts '!P24</f>
        <v>1220</v>
      </c>
      <c r="Q24" s="102">
        <f t="shared" si="1"/>
        <v>0</v>
      </c>
      <c r="R24" s="26" t="s">
        <v>3</v>
      </c>
      <c r="S24" s="1">
        <v>1</v>
      </c>
    </row>
    <row r="25" spans="1:23" hidden="1" x14ac:dyDescent="0.25">
      <c r="A25" s="22">
        <v>16</v>
      </c>
      <c r="B25" s="23" t="s">
        <v>173</v>
      </c>
      <c r="C25" s="24">
        <v>8</v>
      </c>
      <c r="D25" s="38"/>
      <c r="E25" s="38"/>
      <c r="F25" s="102">
        <v>0</v>
      </c>
      <c r="G25" s="102">
        <f t="shared" si="2"/>
        <v>0</v>
      </c>
      <c r="H25" s="102">
        <v>0</v>
      </c>
      <c r="I25" s="102">
        <v>0</v>
      </c>
      <c r="J25" s="162">
        <v>15156</v>
      </c>
      <c r="K25" s="24">
        <v>0</v>
      </c>
      <c r="L25" s="24">
        <v>0</v>
      </c>
      <c r="M25" s="102">
        <v>0</v>
      </c>
      <c r="N25" s="102">
        <v>0</v>
      </c>
      <c r="O25" s="24">
        <v>0</v>
      </c>
      <c r="P25" s="25">
        <v>0</v>
      </c>
      <c r="Q25" s="102">
        <v>0</v>
      </c>
      <c r="R25" s="79">
        <v>0</v>
      </c>
      <c r="S25" s="1">
        <v>1</v>
      </c>
    </row>
    <row r="26" spans="1:23" hidden="1" x14ac:dyDescent="0.25">
      <c r="A26" s="22">
        <v>17</v>
      </c>
      <c r="B26" s="23" t="s">
        <v>45</v>
      </c>
      <c r="C26" s="24">
        <v>22</v>
      </c>
      <c r="D26" s="38">
        <v>5</v>
      </c>
      <c r="E26" s="38">
        <v>5</v>
      </c>
      <c r="F26" s="102">
        <f ca="1">-F26</f>
        <v>0</v>
      </c>
      <c r="G26" s="102">
        <f t="shared" si="2"/>
        <v>22.727272727272727</v>
      </c>
      <c r="H26" s="38">
        <v>288</v>
      </c>
      <c r="I26" s="38">
        <v>288</v>
      </c>
      <c r="J26" s="24">
        <v>34637</v>
      </c>
      <c r="K26" s="38">
        <v>5321</v>
      </c>
      <c r="L26" s="38">
        <v>8731</v>
      </c>
      <c r="M26" s="102">
        <f t="shared" si="4"/>
        <v>64.085698177034388</v>
      </c>
      <c r="N26" s="102">
        <f t="shared" si="0"/>
        <v>25.207148425094552</v>
      </c>
      <c r="O26" s="38">
        <v>316</v>
      </c>
      <c r="P26" s="38">
        <v>516</v>
      </c>
      <c r="Q26" s="102">
        <f t="shared" si="1"/>
        <v>63.291139240506325</v>
      </c>
      <c r="R26" s="26" t="s">
        <v>5</v>
      </c>
      <c r="S26" s="1">
        <v>1</v>
      </c>
      <c r="W26" s="220">
        <f>I26-'[2]1.RSP Districts '!I26</f>
        <v>288</v>
      </c>
    </row>
    <row r="27" spans="1:23" hidden="1" x14ac:dyDescent="0.25">
      <c r="A27" s="22">
        <v>18</v>
      </c>
      <c r="B27" s="23" t="s">
        <v>174</v>
      </c>
      <c r="C27" s="24">
        <v>20</v>
      </c>
      <c r="D27" s="38">
        <v>20</v>
      </c>
      <c r="E27" s="38">
        <f>'[3]1.RSP Districts '!E27</f>
        <v>20</v>
      </c>
      <c r="F27" s="102">
        <f t="shared" si="3"/>
        <v>0</v>
      </c>
      <c r="G27" s="102">
        <f t="shared" si="2"/>
        <v>100</v>
      </c>
      <c r="H27" s="38">
        <v>20</v>
      </c>
      <c r="I27" s="38">
        <f>'[3]1.RSP Districts '!I27</f>
        <v>20</v>
      </c>
      <c r="J27" s="162">
        <v>39770</v>
      </c>
      <c r="K27" s="38">
        <v>3233</v>
      </c>
      <c r="L27" s="38">
        <f>'[3]1.RSP Districts '!L27</f>
        <v>4657</v>
      </c>
      <c r="M27" s="102">
        <f t="shared" si="4"/>
        <v>44.045777915248998</v>
      </c>
      <c r="N27" s="102">
        <f t="shared" si="0"/>
        <v>11.709831531305005</v>
      </c>
      <c r="O27" s="38">
        <v>177</v>
      </c>
      <c r="P27" s="38">
        <f>'[3]1.RSP Districts '!P27</f>
        <v>232</v>
      </c>
      <c r="Q27" s="102">
        <f t="shared" si="1"/>
        <v>31.073446327683616</v>
      </c>
      <c r="R27" s="79" t="s">
        <v>3</v>
      </c>
      <c r="S27" s="1">
        <v>1</v>
      </c>
    </row>
    <row r="28" spans="1:23" hidden="1" x14ac:dyDescent="0.25">
      <c r="A28" s="22">
        <v>19</v>
      </c>
      <c r="B28" s="23" t="s">
        <v>46</v>
      </c>
      <c r="C28" s="24">
        <v>13</v>
      </c>
      <c r="D28" s="38">
        <v>13</v>
      </c>
      <c r="E28" s="38">
        <f>'[3]1.RSP Districts '!E28</f>
        <v>13</v>
      </c>
      <c r="F28" s="102">
        <f t="shared" si="3"/>
        <v>0</v>
      </c>
      <c r="G28" s="102">
        <f t="shared" si="2"/>
        <v>100</v>
      </c>
      <c r="H28" s="38">
        <v>82</v>
      </c>
      <c r="I28" s="38">
        <f>'[3]1.RSP Districts '!I28</f>
        <v>82</v>
      </c>
      <c r="J28" s="24">
        <v>18831</v>
      </c>
      <c r="K28" s="38">
        <v>18831</v>
      </c>
      <c r="L28" s="38">
        <f>'[3]1.RSP Districts '!L28</f>
        <v>18831</v>
      </c>
      <c r="M28" s="102">
        <f t="shared" si="4"/>
        <v>0</v>
      </c>
      <c r="N28" s="102">
        <f t="shared" si="0"/>
        <v>100</v>
      </c>
      <c r="O28" s="38">
        <v>1389</v>
      </c>
      <c r="P28" s="38">
        <f>'[3]1.RSP Districts '!P28</f>
        <v>1389</v>
      </c>
      <c r="Q28" s="102">
        <f t="shared" si="1"/>
        <v>0</v>
      </c>
      <c r="R28" s="26" t="s">
        <v>3</v>
      </c>
      <c r="S28" s="1">
        <v>1</v>
      </c>
    </row>
    <row r="29" spans="1:23" hidden="1" x14ac:dyDescent="0.25">
      <c r="A29" s="22">
        <v>20</v>
      </c>
      <c r="B29" s="23" t="s">
        <v>175</v>
      </c>
      <c r="C29" s="24">
        <v>10</v>
      </c>
      <c r="D29" s="38"/>
      <c r="E29" s="38"/>
      <c r="F29" s="102">
        <v>0</v>
      </c>
      <c r="G29" s="102">
        <f t="shared" si="2"/>
        <v>0</v>
      </c>
      <c r="H29" s="102">
        <v>0</v>
      </c>
      <c r="I29" s="102">
        <v>0</v>
      </c>
      <c r="J29" s="162">
        <v>19126</v>
      </c>
      <c r="K29" s="24">
        <v>0</v>
      </c>
      <c r="L29" s="24">
        <v>0</v>
      </c>
      <c r="M29" s="102">
        <v>0</v>
      </c>
      <c r="N29" s="102">
        <v>0</v>
      </c>
      <c r="O29" s="24">
        <v>0</v>
      </c>
      <c r="P29" s="25">
        <v>0</v>
      </c>
      <c r="Q29" s="102">
        <v>0</v>
      </c>
      <c r="R29" s="79">
        <v>0</v>
      </c>
      <c r="S29" s="1">
        <v>1</v>
      </c>
    </row>
    <row r="30" spans="1:23" hidden="1" x14ac:dyDescent="0.25">
      <c r="A30" s="22">
        <v>21</v>
      </c>
      <c r="B30" s="23" t="s">
        <v>176</v>
      </c>
      <c r="C30" s="24">
        <v>24</v>
      </c>
      <c r="D30" s="38"/>
      <c r="E30" s="38"/>
      <c r="F30" s="102">
        <v>0</v>
      </c>
      <c r="G30" s="102">
        <f t="shared" si="2"/>
        <v>0</v>
      </c>
      <c r="H30" s="102">
        <v>0</v>
      </c>
      <c r="I30" s="102">
        <v>0</v>
      </c>
      <c r="J30" s="162">
        <v>34981</v>
      </c>
      <c r="K30" s="24">
        <v>0</v>
      </c>
      <c r="L30" s="24">
        <v>0</v>
      </c>
      <c r="M30" s="102">
        <v>0</v>
      </c>
      <c r="N30" s="102">
        <v>0</v>
      </c>
      <c r="O30" s="24">
        <v>0</v>
      </c>
      <c r="P30" s="25">
        <v>0</v>
      </c>
      <c r="Q30" s="102">
        <v>0</v>
      </c>
      <c r="R30" s="79">
        <v>0</v>
      </c>
      <c r="S30" s="1">
        <v>1</v>
      </c>
    </row>
    <row r="31" spans="1:23" hidden="1" x14ac:dyDescent="0.25">
      <c r="A31" s="22">
        <v>22</v>
      </c>
      <c r="B31" s="23" t="s">
        <v>177</v>
      </c>
      <c r="C31" s="24">
        <v>10</v>
      </c>
      <c r="D31" s="38">
        <v>1</v>
      </c>
      <c r="E31" s="38">
        <f>'[3]1.RSP Districts '!E31</f>
        <v>1</v>
      </c>
      <c r="F31" s="102">
        <f t="shared" si="3"/>
        <v>0</v>
      </c>
      <c r="G31" s="102">
        <f t="shared" si="2"/>
        <v>10</v>
      </c>
      <c r="H31" s="38">
        <v>4</v>
      </c>
      <c r="I31" s="38">
        <f>'[3]1.RSP Districts '!I31</f>
        <v>4</v>
      </c>
      <c r="J31" s="162">
        <v>13570</v>
      </c>
      <c r="K31" s="38">
        <v>60</v>
      </c>
      <c r="L31" s="38">
        <f>'[3]1.RSP Districts '!L31</f>
        <v>60</v>
      </c>
      <c r="M31" s="102">
        <f t="shared" si="4"/>
        <v>0</v>
      </c>
      <c r="N31" s="102">
        <v>0</v>
      </c>
      <c r="O31" s="38">
        <v>4</v>
      </c>
      <c r="P31" s="38">
        <f>'[3]1.RSP Districts '!P31</f>
        <v>4</v>
      </c>
      <c r="Q31" s="102">
        <f t="shared" si="1"/>
        <v>0</v>
      </c>
      <c r="R31" s="26" t="s">
        <v>3</v>
      </c>
      <c r="S31" s="1">
        <v>1</v>
      </c>
    </row>
    <row r="32" spans="1:23" hidden="1" x14ac:dyDescent="0.25">
      <c r="A32" s="22">
        <v>23</v>
      </c>
      <c r="B32" s="23" t="s">
        <v>47</v>
      </c>
      <c r="C32" s="24">
        <v>16</v>
      </c>
      <c r="D32" s="38">
        <v>16</v>
      </c>
      <c r="E32" s="38">
        <v>16</v>
      </c>
      <c r="F32" s="102">
        <f t="shared" si="3"/>
        <v>0</v>
      </c>
      <c r="G32" s="102">
        <f t="shared" si="2"/>
        <v>100</v>
      </c>
      <c r="H32" s="38">
        <v>117</v>
      </c>
      <c r="I32" s="38">
        <v>117</v>
      </c>
      <c r="J32" s="24">
        <v>35703</v>
      </c>
      <c r="K32" s="38">
        <v>16949</v>
      </c>
      <c r="L32" s="38">
        <v>15886</v>
      </c>
      <c r="M32" s="102">
        <f t="shared" si="4"/>
        <v>-6.2717564458080117</v>
      </c>
      <c r="N32" s="102">
        <f t="shared" si="0"/>
        <v>44.49486037587878</v>
      </c>
      <c r="O32" s="38">
        <v>1042</v>
      </c>
      <c r="P32" s="38">
        <v>979</v>
      </c>
      <c r="Q32" s="102">
        <f t="shared" si="1"/>
        <v>-6.0460652591170829</v>
      </c>
      <c r="R32" s="26" t="s">
        <v>5</v>
      </c>
      <c r="S32" s="1">
        <v>1</v>
      </c>
      <c r="W32" s="220">
        <f>I32-'[2]1.RSP Districts '!I32</f>
        <v>117</v>
      </c>
    </row>
    <row r="33" spans="1:23" hidden="1" x14ac:dyDescent="0.25">
      <c r="A33" s="22">
        <v>24</v>
      </c>
      <c r="B33" s="23" t="s">
        <v>48</v>
      </c>
      <c r="C33" s="24">
        <v>38</v>
      </c>
      <c r="D33" s="38">
        <v>35</v>
      </c>
      <c r="E33" s="38">
        <f>'[3]1.RSP Districts '!E33</f>
        <v>35</v>
      </c>
      <c r="F33" s="102">
        <f t="shared" si="3"/>
        <v>0</v>
      </c>
      <c r="G33" s="102">
        <f t="shared" si="2"/>
        <v>92.10526315789474</v>
      </c>
      <c r="H33" s="38">
        <v>197</v>
      </c>
      <c r="I33" s="38">
        <f>'[3]1.RSP Districts '!I33</f>
        <v>197</v>
      </c>
      <c r="J33" s="24">
        <v>55654</v>
      </c>
      <c r="K33" s="38">
        <v>23705</v>
      </c>
      <c r="L33" s="38">
        <f>'[3]1.RSP Districts '!L33</f>
        <v>23705</v>
      </c>
      <c r="M33" s="102">
        <f t="shared" si="4"/>
        <v>0</v>
      </c>
      <c r="N33" s="102">
        <f t="shared" si="0"/>
        <v>42.59352427498473</v>
      </c>
      <c r="O33" s="38">
        <v>1550</v>
      </c>
      <c r="P33" s="38">
        <f>'[3]1.RSP Districts '!P33</f>
        <v>1550</v>
      </c>
      <c r="Q33" s="102">
        <f t="shared" si="1"/>
        <v>0</v>
      </c>
      <c r="R33" s="26" t="s">
        <v>3</v>
      </c>
      <c r="S33" s="1">
        <v>1</v>
      </c>
    </row>
    <row r="34" spans="1:23" hidden="1" x14ac:dyDescent="0.25">
      <c r="A34" s="22">
        <v>25</v>
      </c>
      <c r="B34" s="23" t="s">
        <v>181</v>
      </c>
      <c r="C34" s="24">
        <v>47</v>
      </c>
      <c r="D34" s="38">
        <v>5</v>
      </c>
      <c r="E34" s="38">
        <f>'[3]1.RSP Districts '!E34</f>
        <v>5</v>
      </c>
      <c r="F34" s="102">
        <f t="shared" si="3"/>
        <v>0</v>
      </c>
      <c r="G34" s="102">
        <f t="shared" si="2"/>
        <v>10.638297872340425</v>
      </c>
      <c r="H34" s="38">
        <v>0</v>
      </c>
      <c r="I34" s="38">
        <f>'[3]1.RSP Districts '!I34</f>
        <v>0</v>
      </c>
      <c r="J34" s="162">
        <v>25232</v>
      </c>
      <c r="K34" s="38">
        <v>939</v>
      </c>
      <c r="L34" s="38">
        <f>'[3]1.RSP Districts '!L34</f>
        <v>939</v>
      </c>
      <c r="M34" s="102">
        <f t="shared" si="4"/>
        <v>0</v>
      </c>
      <c r="N34" s="102">
        <f t="shared" si="0"/>
        <v>3.7214648065948004</v>
      </c>
      <c r="O34" s="38">
        <v>88</v>
      </c>
      <c r="P34" s="38">
        <f>'[3]1.RSP Districts '!P34</f>
        <v>88</v>
      </c>
      <c r="Q34" s="102">
        <f t="shared" si="1"/>
        <v>0</v>
      </c>
      <c r="R34" s="79" t="s">
        <v>3</v>
      </c>
      <c r="S34" s="1">
        <v>1</v>
      </c>
    </row>
    <row r="35" spans="1:23" hidden="1" x14ac:dyDescent="0.25">
      <c r="A35" s="22">
        <v>26</v>
      </c>
      <c r="B35" s="23" t="s">
        <v>49</v>
      </c>
      <c r="C35" s="24">
        <v>7</v>
      </c>
      <c r="D35" s="38">
        <v>7</v>
      </c>
      <c r="E35" s="38">
        <f>'[3]1.RSP Districts '!E35</f>
        <v>7</v>
      </c>
      <c r="F35" s="102">
        <f t="shared" si="3"/>
        <v>0</v>
      </c>
      <c r="G35" s="102">
        <f t="shared" si="2"/>
        <v>99.999999999999986</v>
      </c>
      <c r="H35" s="38">
        <v>38</v>
      </c>
      <c r="I35" s="38">
        <f>'[3]1.RSP Districts '!I35</f>
        <v>38</v>
      </c>
      <c r="J35" s="24">
        <v>10608.311688311687</v>
      </c>
      <c r="K35" s="38">
        <v>2520</v>
      </c>
      <c r="L35" s="38">
        <f>'[3]1.RSP Districts '!L35</f>
        <v>2520</v>
      </c>
      <c r="M35" s="102">
        <f t="shared" si="4"/>
        <v>0</v>
      </c>
      <c r="N35" s="102">
        <f t="shared" si="0"/>
        <v>23.754958131335393</v>
      </c>
      <c r="O35" s="38">
        <v>118</v>
      </c>
      <c r="P35" s="38">
        <f>'[3]1.RSP Districts '!P35</f>
        <v>118</v>
      </c>
      <c r="Q35" s="102">
        <f t="shared" si="1"/>
        <v>0</v>
      </c>
      <c r="R35" s="26" t="s">
        <v>3</v>
      </c>
      <c r="S35" s="1">
        <v>1</v>
      </c>
    </row>
    <row r="36" spans="1:23" hidden="1" x14ac:dyDescent="0.25">
      <c r="A36" s="22">
        <v>27</v>
      </c>
      <c r="B36" s="23" t="s">
        <v>178</v>
      </c>
      <c r="C36" s="24">
        <v>11</v>
      </c>
      <c r="D36" s="38"/>
      <c r="E36" s="38"/>
      <c r="F36" s="102">
        <v>0</v>
      </c>
      <c r="G36" s="102">
        <f t="shared" si="2"/>
        <v>0</v>
      </c>
      <c r="H36" s="102">
        <v>0</v>
      </c>
      <c r="I36" s="102">
        <v>0</v>
      </c>
      <c r="J36" s="162">
        <v>19815</v>
      </c>
      <c r="K36" s="24">
        <v>0</v>
      </c>
      <c r="L36" s="24">
        <v>0</v>
      </c>
      <c r="M36" s="102">
        <v>0</v>
      </c>
      <c r="N36" s="102">
        <v>0</v>
      </c>
      <c r="O36" s="24">
        <v>0</v>
      </c>
      <c r="P36" s="25">
        <v>0</v>
      </c>
      <c r="Q36" s="102">
        <v>0</v>
      </c>
      <c r="R36" s="79">
        <v>0</v>
      </c>
      <c r="S36" s="1">
        <v>1</v>
      </c>
    </row>
    <row r="37" spans="1:23" hidden="1" x14ac:dyDescent="0.25">
      <c r="A37" s="22">
        <v>28</v>
      </c>
      <c r="B37" s="23" t="s">
        <v>179</v>
      </c>
      <c r="C37" s="24">
        <v>9</v>
      </c>
      <c r="D37" s="38"/>
      <c r="E37" s="38"/>
      <c r="F37" s="102">
        <v>0</v>
      </c>
      <c r="G37" s="102">
        <f t="shared" si="2"/>
        <v>0</v>
      </c>
      <c r="H37" s="102">
        <v>0</v>
      </c>
      <c r="I37" s="102">
        <v>0</v>
      </c>
      <c r="J37" s="162">
        <v>18421.875</v>
      </c>
      <c r="K37" s="24">
        <v>0</v>
      </c>
      <c r="L37" s="24">
        <v>0</v>
      </c>
      <c r="M37" s="102">
        <v>0</v>
      </c>
      <c r="N37" s="102">
        <v>0</v>
      </c>
      <c r="O37" s="24">
        <v>0</v>
      </c>
      <c r="P37" s="25">
        <v>0</v>
      </c>
      <c r="Q37" s="102">
        <v>0</v>
      </c>
      <c r="R37" s="79">
        <v>0</v>
      </c>
      <c r="S37" s="1">
        <v>1</v>
      </c>
    </row>
    <row r="38" spans="1:23" hidden="1" x14ac:dyDescent="0.25">
      <c r="A38" s="22">
        <v>29</v>
      </c>
      <c r="B38" s="23" t="s">
        <v>50</v>
      </c>
      <c r="C38" s="24">
        <v>21</v>
      </c>
      <c r="D38" s="38">
        <v>21</v>
      </c>
      <c r="E38" s="38">
        <f>'[3]1.RSP Districts '!E38</f>
        <v>21</v>
      </c>
      <c r="F38" s="102">
        <f t="shared" si="3"/>
        <v>0</v>
      </c>
      <c r="G38" s="102">
        <f t="shared" si="2"/>
        <v>100</v>
      </c>
      <c r="H38" s="38">
        <v>141</v>
      </c>
      <c r="I38" s="38">
        <f>'[3]1.RSP Districts '!I38</f>
        <v>141</v>
      </c>
      <c r="J38" s="24">
        <v>21117.688311688311</v>
      </c>
      <c r="K38" s="38">
        <v>22490</v>
      </c>
      <c r="L38" s="38">
        <f>'[3]1.RSP Districts '!L38</f>
        <v>24416</v>
      </c>
      <c r="M38" s="102">
        <f t="shared" si="4"/>
        <v>8.5638061360604709</v>
      </c>
      <c r="N38" s="102">
        <f t="shared" si="0"/>
        <v>115.61871564552889</v>
      </c>
      <c r="O38" s="38">
        <v>1318</v>
      </c>
      <c r="P38" s="38">
        <f>'[3]1.RSP Districts '!P38</f>
        <v>1390</v>
      </c>
      <c r="Q38" s="102">
        <f t="shared" si="1"/>
        <v>5.4628224582701064</v>
      </c>
      <c r="R38" s="26" t="s">
        <v>3</v>
      </c>
      <c r="S38" s="1">
        <v>1</v>
      </c>
    </row>
    <row r="39" spans="1:23" hidden="1" x14ac:dyDescent="0.25">
      <c r="A39" s="36">
        <v>30</v>
      </c>
      <c r="B39" s="37" t="s">
        <v>180</v>
      </c>
      <c r="C39" s="38">
        <v>10</v>
      </c>
      <c r="D39" s="38"/>
      <c r="E39" s="38"/>
      <c r="F39" s="134">
        <v>0</v>
      </c>
      <c r="G39" s="134">
        <f t="shared" si="2"/>
        <v>0</v>
      </c>
      <c r="H39" s="134">
        <v>0</v>
      </c>
      <c r="I39" s="134">
        <v>0</v>
      </c>
      <c r="J39" s="162">
        <v>4609</v>
      </c>
      <c r="K39" s="24">
        <v>0</v>
      </c>
      <c r="L39" s="38">
        <v>0</v>
      </c>
      <c r="M39" s="102">
        <v>0</v>
      </c>
      <c r="N39" s="134">
        <v>0</v>
      </c>
      <c r="O39" s="24">
        <v>0</v>
      </c>
      <c r="P39" s="40">
        <v>0</v>
      </c>
      <c r="Q39" s="134">
        <v>0</v>
      </c>
      <c r="R39" s="88">
        <v>0</v>
      </c>
      <c r="S39" s="1">
        <v>1</v>
      </c>
    </row>
    <row r="40" spans="1:23" s="4" customFormat="1" ht="14.4" hidden="1" thickBot="1" x14ac:dyDescent="0.3">
      <c r="A40" s="148">
        <f>COUNTIF(R10:R39,"*")</f>
        <v>19</v>
      </c>
      <c r="B40" s="147" t="s">
        <v>33</v>
      </c>
      <c r="C40" s="56">
        <f>SUM(C10:C39)</f>
        <v>547</v>
      </c>
      <c r="D40" s="56">
        <f>SUM(D10:D39)</f>
        <v>284</v>
      </c>
      <c r="E40" s="56">
        <f>SUM(E10:E39)</f>
        <v>284</v>
      </c>
      <c r="F40" s="149">
        <f t="shared" si="3"/>
        <v>0</v>
      </c>
      <c r="G40" s="149">
        <f t="shared" si="2"/>
        <v>51.919561243144429</v>
      </c>
      <c r="H40" s="56">
        <f>SUM(H10:H39)</f>
        <v>2362</v>
      </c>
      <c r="I40" s="56">
        <f>SUM(I10:I39)</f>
        <v>2362</v>
      </c>
      <c r="J40" s="56">
        <f>SUM(J10:J39)</f>
        <v>814191</v>
      </c>
      <c r="K40" s="56">
        <f>SUM(K10:K39)</f>
        <v>292698</v>
      </c>
      <c r="L40" s="56">
        <f>SUM(L10:L39)</f>
        <v>319673</v>
      </c>
      <c r="M40" s="149">
        <f t="shared" ref="M40" si="5">(L40-K40)/K40%</f>
        <v>9.2159837101722601</v>
      </c>
      <c r="N40" s="149">
        <f t="shared" si="0"/>
        <v>39.262654585963247</v>
      </c>
      <c r="O40" s="56">
        <f>SUM(O10:O39)</f>
        <v>16795</v>
      </c>
      <c r="P40" s="56">
        <f>SUM(P10:P39)</f>
        <v>18248</v>
      </c>
      <c r="Q40" s="149">
        <f t="shared" si="1"/>
        <v>8.6513843405775539</v>
      </c>
      <c r="R40" s="151"/>
      <c r="S40" s="1">
        <v>1</v>
      </c>
    </row>
    <row r="41" spans="1:23" ht="5.25" hidden="1" customHeight="1" thickBot="1" x14ac:dyDescent="0.35">
      <c r="A41" s="89"/>
      <c r="B41" s="90"/>
      <c r="C41" s="45"/>
      <c r="D41" s="45"/>
      <c r="E41" s="45"/>
      <c r="F41" s="105"/>
      <c r="G41" s="105"/>
      <c r="H41" s="105"/>
      <c r="I41" s="105"/>
      <c r="J41" s="45"/>
      <c r="K41" s="45"/>
      <c r="L41" s="45"/>
      <c r="M41" s="45"/>
      <c r="N41" s="45"/>
      <c r="O41" s="45"/>
      <c r="P41" s="45"/>
      <c r="Q41" s="45"/>
      <c r="R41" s="91"/>
      <c r="S41" s="1">
        <v>1</v>
      </c>
    </row>
    <row r="42" spans="1:23" s="5" customFormat="1" hidden="1" x14ac:dyDescent="0.25">
      <c r="A42" s="17" t="s">
        <v>275</v>
      </c>
      <c r="B42" s="18"/>
      <c r="C42" s="19"/>
      <c r="D42" s="28"/>
      <c r="E42" s="28"/>
      <c r="F42" s="104"/>
      <c r="G42" s="104"/>
      <c r="H42" s="104"/>
      <c r="I42" s="104"/>
      <c r="J42" s="19"/>
      <c r="K42" s="28"/>
      <c r="L42" s="28"/>
      <c r="M42" s="28"/>
      <c r="N42" s="28"/>
      <c r="O42" s="28"/>
      <c r="P42" s="28"/>
      <c r="Q42" s="28"/>
      <c r="R42" s="21"/>
      <c r="S42" s="1">
        <v>1</v>
      </c>
    </row>
    <row r="43" spans="1:23" x14ac:dyDescent="0.25">
      <c r="A43" s="22">
        <v>1</v>
      </c>
      <c r="B43" s="23" t="s">
        <v>51</v>
      </c>
      <c r="C43" s="24">
        <v>54</v>
      </c>
      <c r="D43" s="24">
        <v>54</v>
      </c>
      <c r="E43" s="24">
        <f>D43</f>
        <v>54</v>
      </c>
      <c r="F43" s="102">
        <f t="shared" ref="F43:F77" si="6">(E43-D43)/D43%</f>
        <v>0</v>
      </c>
      <c r="G43" s="102">
        <f t="shared" ref="G43:G77" si="7">E43/C43%</f>
        <v>100</v>
      </c>
      <c r="H43" s="24">
        <v>189</v>
      </c>
      <c r="I43" s="24">
        <f>'[4]1.RSP Districts '!I43</f>
        <v>189</v>
      </c>
      <c r="J43" s="24">
        <v>115585</v>
      </c>
      <c r="K43" s="24">
        <v>57606</v>
      </c>
      <c r="L43" s="24">
        <f>'[4]1.RSP Districts '!L43</f>
        <v>57606</v>
      </c>
      <c r="M43" s="102">
        <f t="shared" ref="M43:M77" si="8">(L43-K43)/K43%</f>
        <v>0</v>
      </c>
      <c r="N43" s="102">
        <f t="shared" ref="N43:N77" si="9">L43/J43%</f>
        <v>49.838646883246099</v>
      </c>
      <c r="O43" s="24">
        <v>2017</v>
      </c>
      <c r="P43" s="24">
        <f>O43</f>
        <v>2017</v>
      </c>
      <c r="Q43" s="102">
        <f t="shared" ref="Q43:Q77" si="10">(P43-O43)/O43%</f>
        <v>0</v>
      </c>
      <c r="R43" s="26" t="s">
        <v>9</v>
      </c>
      <c r="S43" s="1">
        <v>1</v>
      </c>
      <c r="T43" s="220">
        <f>I43-'[5]1.RSP Districts '!I43</f>
        <v>189</v>
      </c>
      <c r="U43" s="220">
        <f>P43-'[6]1.RSP Districts '!$P$43</f>
        <v>2017</v>
      </c>
    </row>
    <row r="44" spans="1:23" hidden="1" x14ac:dyDescent="0.25">
      <c r="A44" s="22">
        <v>2</v>
      </c>
      <c r="B44" s="23" t="s">
        <v>276</v>
      </c>
      <c r="C44" s="24">
        <v>49</v>
      </c>
      <c r="D44" s="24">
        <v>0</v>
      </c>
      <c r="E44" s="24"/>
      <c r="F44" s="102">
        <v>0</v>
      </c>
      <c r="G44" s="102">
        <f t="shared" si="7"/>
        <v>0</v>
      </c>
      <c r="H44" s="102">
        <v>0</v>
      </c>
      <c r="I44" s="102">
        <v>0</v>
      </c>
      <c r="J44" s="162">
        <v>65010</v>
      </c>
      <c r="K44" s="24">
        <v>0</v>
      </c>
      <c r="L44" s="24">
        <v>0</v>
      </c>
      <c r="M44" s="102">
        <v>0</v>
      </c>
      <c r="N44" s="102">
        <v>0</v>
      </c>
      <c r="O44" s="24">
        <v>0</v>
      </c>
      <c r="P44" s="25">
        <v>0</v>
      </c>
      <c r="Q44" s="102">
        <v>0</v>
      </c>
      <c r="R44" s="79">
        <v>0</v>
      </c>
      <c r="S44" s="1">
        <v>1</v>
      </c>
    </row>
    <row r="45" spans="1:23" x14ac:dyDescent="0.25">
      <c r="A45" s="22">
        <v>3</v>
      </c>
      <c r="B45" s="23" t="s">
        <v>52</v>
      </c>
      <c r="C45" s="24">
        <v>20</v>
      </c>
      <c r="D45" s="24">
        <v>18</v>
      </c>
      <c r="E45" s="24">
        <f>D45</f>
        <v>18</v>
      </c>
      <c r="F45" s="102">
        <f t="shared" si="6"/>
        <v>0</v>
      </c>
      <c r="G45" s="102">
        <f t="shared" si="7"/>
        <v>90</v>
      </c>
      <c r="H45" s="24">
        <v>92</v>
      </c>
      <c r="I45" s="24">
        <f>'[4]1.RSP Districts '!I45</f>
        <v>92</v>
      </c>
      <c r="J45" s="24">
        <v>46053</v>
      </c>
      <c r="K45" s="24">
        <v>36501</v>
      </c>
      <c r="L45" s="24">
        <f>'[4]1.RSP Districts '!L45</f>
        <v>36501</v>
      </c>
      <c r="M45" s="102">
        <f t="shared" si="8"/>
        <v>0</v>
      </c>
      <c r="N45" s="102">
        <f t="shared" si="9"/>
        <v>79.258680216272566</v>
      </c>
      <c r="O45" s="24">
        <v>1502</v>
      </c>
      <c r="P45" s="24">
        <f>O45</f>
        <v>1502</v>
      </c>
      <c r="Q45" s="102">
        <f t="shared" si="10"/>
        <v>0</v>
      </c>
      <c r="R45" s="26" t="s">
        <v>9</v>
      </c>
      <c r="S45" s="1">
        <v>1</v>
      </c>
      <c r="T45" s="220">
        <f>I45-'[5]1.RSP Districts '!I45</f>
        <v>92</v>
      </c>
      <c r="U45" s="220">
        <f>P45-'[6]1.RSP Districts '!$P$43</f>
        <v>1502</v>
      </c>
    </row>
    <row r="46" spans="1:23" hidden="1" x14ac:dyDescent="0.25">
      <c r="A46" s="22">
        <v>4</v>
      </c>
      <c r="B46" s="23" t="s">
        <v>53</v>
      </c>
      <c r="C46" s="24">
        <v>27</v>
      </c>
      <c r="D46" s="38">
        <v>5</v>
      </c>
      <c r="E46" s="38">
        <v>5</v>
      </c>
      <c r="F46" s="102">
        <f t="shared" si="6"/>
        <v>0</v>
      </c>
      <c r="G46" s="102">
        <f t="shared" si="7"/>
        <v>18.518518518518519</v>
      </c>
      <c r="H46" s="38">
        <v>167</v>
      </c>
      <c r="I46" s="38">
        <v>167</v>
      </c>
      <c r="J46" s="24">
        <v>56591</v>
      </c>
      <c r="K46" s="38">
        <v>269</v>
      </c>
      <c r="L46" s="38">
        <v>269</v>
      </c>
      <c r="M46" s="102">
        <f t="shared" si="8"/>
        <v>0</v>
      </c>
      <c r="N46" s="102">
        <f t="shared" si="9"/>
        <v>0.475340601862487</v>
      </c>
      <c r="O46" s="38">
        <v>19</v>
      </c>
      <c r="P46" s="38">
        <v>19</v>
      </c>
      <c r="Q46" s="102">
        <f t="shared" si="10"/>
        <v>0</v>
      </c>
      <c r="R46" s="26" t="s">
        <v>5</v>
      </c>
      <c r="S46" s="1">
        <v>1</v>
      </c>
      <c r="W46" s="220">
        <f>I46-'[2]1.RSP Districts '!I46</f>
        <v>167</v>
      </c>
    </row>
    <row r="47" spans="1:23" x14ac:dyDescent="0.25">
      <c r="A47" s="22">
        <v>4</v>
      </c>
      <c r="B47" s="23" t="s">
        <v>54</v>
      </c>
      <c r="C47" s="24">
        <v>27</v>
      </c>
      <c r="D47" s="24">
        <v>21</v>
      </c>
      <c r="E47" s="24">
        <f>D47</f>
        <v>21</v>
      </c>
      <c r="F47" s="102">
        <f t="shared" si="6"/>
        <v>0</v>
      </c>
      <c r="G47" s="102">
        <f t="shared" si="7"/>
        <v>77.777777777777771</v>
      </c>
      <c r="H47" s="24">
        <v>111</v>
      </c>
      <c r="I47" s="24">
        <f>'[4]1.RSP Districts '!I47</f>
        <v>111</v>
      </c>
      <c r="J47" s="24">
        <v>56591</v>
      </c>
      <c r="K47" s="24">
        <v>13964</v>
      </c>
      <c r="L47" s="24">
        <v>16126</v>
      </c>
      <c r="M47" s="102">
        <f t="shared" si="8"/>
        <v>15.482669722142655</v>
      </c>
      <c r="N47" s="102">
        <f t="shared" si="9"/>
        <v>28.495697195667159</v>
      </c>
      <c r="O47" s="24">
        <v>597</v>
      </c>
      <c r="P47" s="24">
        <f>'[4]1.RSP Districts '!P47</f>
        <v>691</v>
      </c>
      <c r="Q47" s="102">
        <f t="shared" si="10"/>
        <v>15.745393634840871</v>
      </c>
      <c r="R47" s="26" t="s">
        <v>9</v>
      </c>
      <c r="S47" s="1">
        <v>1</v>
      </c>
      <c r="T47" s="220">
        <f>I47-'[5]1.RSP Districts '!I47</f>
        <v>111</v>
      </c>
      <c r="U47" s="220">
        <f>P47-'[6]1.RSP Districts '!$P$43</f>
        <v>691</v>
      </c>
    </row>
    <row r="48" spans="1:23" hidden="1" x14ac:dyDescent="0.25">
      <c r="A48" s="22">
        <v>5</v>
      </c>
      <c r="B48" s="23" t="s">
        <v>55</v>
      </c>
      <c r="C48" s="24">
        <v>49</v>
      </c>
      <c r="D48" s="38">
        <v>28</v>
      </c>
      <c r="E48" s="38">
        <v>28</v>
      </c>
      <c r="F48" s="102">
        <f t="shared" si="6"/>
        <v>0</v>
      </c>
      <c r="G48" s="102">
        <f t="shared" si="7"/>
        <v>57.142857142857146</v>
      </c>
      <c r="H48" s="38">
        <v>226</v>
      </c>
      <c r="I48" s="38">
        <v>226</v>
      </c>
      <c r="J48" s="24">
        <v>102361</v>
      </c>
      <c r="K48" s="38">
        <v>12926</v>
      </c>
      <c r="L48" s="38">
        <v>12926</v>
      </c>
      <c r="M48" s="102">
        <f t="shared" si="8"/>
        <v>0</v>
      </c>
      <c r="N48" s="102">
        <f t="shared" si="9"/>
        <v>12.627856312462754</v>
      </c>
      <c r="O48" s="38">
        <v>736</v>
      </c>
      <c r="P48" s="38">
        <v>736</v>
      </c>
      <c r="Q48" s="102">
        <f t="shared" si="10"/>
        <v>0</v>
      </c>
      <c r="R48" s="26" t="s">
        <v>5</v>
      </c>
      <c r="S48" s="1">
        <v>1</v>
      </c>
      <c r="W48" s="220">
        <f>I48-'[2]1.RSP Districts '!I48</f>
        <v>226</v>
      </c>
    </row>
    <row r="49" spans="1:23" x14ac:dyDescent="0.25">
      <c r="A49" s="22">
        <v>5</v>
      </c>
      <c r="B49" s="23" t="s">
        <v>56</v>
      </c>
      <c r="C49" s="24">
        <v>49</v>
      </c>
      <c r="D49" s="24">
        <v>37</v>
      </c>
      <c r="E49" s="24">
        <f>D49</f>
        <v>37</v>
      </c>
      <c r="F49" s="102">
        <f t="shared" si="6"/>
        <v>0</v>
      </c>
      <c r="G49" s="102">
        <f t="shared" si="7"/>
        <v>75.510204081632651</v>
      </c>
      <c r="H49" s="24">
        <v>68</v>
      </c>
      <c r="I49" s="24">
        <f>'[4]1.RSP Districts '!I49</f>
        <v>68</v>
      </c>
      <c r="J49" s="24">
        <v>102361</v>
      </c>
      <c r="K49" s="24">
        <v>37365</v>
      </c>
      <c r="L49" s="24">
        <v>37963</v>
      </c>
      <c r="M49" s="102">
        <f t="shared" si="8"/>
        <v>1.6004282082162453</v>
      </c>
      <c r="N49" s="102">
        <f t="shared" si="9"/>
        <v>37.087367259014663</v>
      </c>
      <c r="O49" s="24">
        <v>1626</v>
      </c>
      <c r="P49" s="24">
        <f>'[4]1.RSP Districts '!P49</f>
        <v>1652</v>
      </c>
      <c r="Q49" s="102">
        <f t="shared" si="10"/>
        <v>1.5990159901599015</v>
      </c>
      <c r="R49" s="26" t="s">
        <v>9</v>
      </c>
      <c r="S49" s="1">
        <v>1</v>
      </c>
      <c r="T49" s="220">
        <f>I49-'[5]1.RSP Districts '!I49</f>
        <v>68</v>
      </c>
      <c r="U49" s="220">
        <f>P49-'[6]1.RSP Districts '!$P$43</f>
        <v>1652</v>
      </c>
    </row>
    <row r="50" spans="1:23" hidden="1" x14ac:dyDescent="0.25">
      <c r="A50" s="22">
        <v>6</v>
      </c>
      <c r="B50" s="23" t="s">
        <v>57</v>
      </c>
      <c r="C50" s="24">
        <v>24</v>
      </c>
      <c r="D50" s="24">
        <v>24</v>
      </c>
      <c r="E50" s="24">
        <v>24</v>
      </c>
      <c r="F50" s="102">
        <f t="shared" si="6"/>
        <v>0</v>
      </c>
      <c r="G50" s="102">
        <f t="shared" si="7"/>
        <v>100</v>
      </c>
      <c r="H50" s="24">
        <v>378</v>
      </c>
      <c r="I50" s="24">
        <v>378</v>
      </c>
      <c r="J50" s="24">
        <v>36879</v>
      </c>
      <c r="K50" s="24">
        <v>34914</v>
      </c>
      <c r="L50" s="24">
        <f>K50</f>
        <v>34914</v>
      </c>
      <c r="M50" s="102">
        <f t="shared" si="8"/>
        <v>0</v>
      </c>
      <c r="N50" s="102">
        <f t="shared" si="9"/>
        <v>94.671764418774913</v>
      </c>
      <c r="O50" s="24">
        <v>1680</v>
      </c>
      <c r="P50" s="24">
        <f>O50</f>
        <v>1680</v>
      </c>
      <c r="Q50" s="102">
        <f t="shared" si="10"/>
        <v>0</v>
      </c>
      <c r="R50" s="26" t="s">
        <v>2</v>
      </c>
      <c r="S50" s="1">
        <v>1</v>
      </c>
    </row>
    <row r="51" spans="1:23" x14ac:dyDescent="0.25">
      <c r="A51" s="22">
        <v>6</v>
      </c>
      <c r="B51" s="23" t="s">
        <v>58</v>
      </c>
      <c r="C51" s="24">
        <v>24</v>
      </c>
      <c r="D51" s="24">
        <v>24</v>
      </c>
      <c r="E51" s="24">
        <f>D51</f>
        <v>24</v>
      </c>
      <c r="F51" s="102">
        <f t="shared" si="6"/>
        <v>0</v>
      </c>
      <c r="G51" s="102">
        <f t="shared" si="7"/>
        <v>100</v>
      </c>
      <c r="H51" s="24">
        <v>523</v>
      </c>
      <c r="I51" s="24">
        <f>'[4]1.RSP Districts '!I51</f>
        <v>523</v>
      </c>
      <c r="J51" s="24">
        <v>36879</v>
      </c>
      <c r="K51" s="24">
        <v>29557</v>
      </c>
      <c r="L51" s="24">
        <v>38987</v>
      </c>
      <c r="M51" s="102">
        <f t="shared" si="8"/>
        <v>31.904455797273066</v>
      </c>
      <c r="N51" s="102">
        <f t="shared" si="9"/>
        <v>105.7159901298842</v>
      </c>
      <c r="O51" s="24">
        <v>900</v>
      </c>
      <c r="P51" s="24">
        <v>1310</v>
      </c>
      <c r="Q51" s="102">
        <f t="shared" si="10"/>
        <v>45.555555555555557</v>
      </c>
      <c r="R51" s="26" t="s">
        <v>9</v>
      </c>
      <c r="S51" s="1">
        <v>1</v>
      </c>
      <c r="T51" s="220">
        <f>I51-'[5]1.RSP Districts '!I51</f>
        <v>523</v>
      </c>
      <c r="U51" s="220">
        <f>P51-'[6]1.RSP Districts '!$P$43</f>
        <v>1310</v>
      </c>
    </row>
    <row r="52" spans="1:23" x14ac:dyDescent="0.25">
      <c r="A52" s="22">
        <v>7</v>
      </c>
      <c r="B52" s="23" t="s">
        <v>59</v>
      </c>
      <c r="C52" s="24">
        <v>28</v>
      </c>
      <c r="D52" s="24">
        <v>25</v>
      </c>
      <c r="E52" s="24">
        <f>D52</f>
        <v>25</v>
      </c>
      <c r="F52" s="102">
        <f t="shared" si="6"/>
        <v>0</v>
      </c>
      <c r="G52" s="102">
        <f t="shared" si="7"/>
        <v>89.285714285714278</v>
      </c>
      <c r="H52" s="24">
        <v>328</v>
      </c>
      <c r="I52" s="24">
        <f>'[4]1.RSP Districts '!I52</f>
        <v>328</v>
      </c>
      <c r="J52" s="24">
        <v>70230</v>
      </c>
      <c r="K52" s="24">
        <v>58744</v>
      </c>
      <c r="L52" s="24">
        <v>61090</v>
      </c>
      <c r="M52" s="102">
        <f t="shared" si="8"/>
        <v>3.9935993463162194</v>
      </c>
      <c r="N52" s="102">
        <f t="shared" si="9"/>
        <v>86.98561868147516</v>
      </c>
      <c r="O52" s="24">
        <v>1862</v>
      </c>
      <c r="P52" s="24">
        <f>'[4]1.RSP Districts '!P52</f>
        <v>1964</v>
      </c>
      <c r="Q52" s="102">
        <f>(P52-O52)/O52%</f>
        <v>5.4779806659505903</v>
      </c>
      <c r="R52" s="26" t="s">
        <v>9</v>
      </c>
      <c r="S52" s="1">
        <v>1</v>
      </c>
      <c r="T52" s="220">
        <f>I52-'[5]1.RSP Districts '!I52</f>
        <v>328</v>
      </c>
      <c r="U52" s="220">
        <f>P52-'[6]1.RSP Districts '!$P$43</f>
        <v>1964</v>
      </c>
    </row>
    <row r="53" spans="1:23" x14ac:dyDescent="0.25">
      <c r="A53" s="22">
        <v>8</v>
      </c>
      <c r="B53" s="23" t="s">
        <v>194</v>
      </c>
      <c r="C53" s="24">
        <v>37</v>
      </c>
      <c r="D53" s="24">
        <v>28</v>
      </c>
      <c r="E53" s="24">
        <f>D53</f>
        <v>28</v>
      </c>
      <c r="F53" s="102">
        <v>0</v>
      </c>
      <c r="G53" s="102">
        <f t="shared" si="7"/>
        <v>75.675675675675677</v>
      </c>
      <c r="H53" s="24">
        <v>140</v>
      </c>
      <c r="I53" s="24">
        <f>'[4]1.RSP Districts '!I53</f>
        <v>140</v>
      </c>
      <c r="J53" s="162">
        <v>73626</v>
      </c>
      <c r="K53" s="24">
        <v>22036</v>
      </c>
      <c r="L53" s="24">
        <v>26544</v>
      </c>
      <c r="M53" s="102">
        <v>0</v>
      </c>
      <c r="N53" s="102">
        <v>0</v>
      </c>
      <c r="O53" s="24">
        <v>928</v>
      </c>
      <c r="P53" s="24">
        <f>'[4]1.RSP Districts '!P53</f>
        <v>1124</v>
      </c>
      <c r="Q53" s="102">
        <f>(P53-O53)/O53%</f>
        <v>21.120689655172416</v>
      </c>
      <c r="R53" s="79" t="s">
        <v>9</v>
      </c>
      <c r="S53" s="1">
        <v>1</v>
      </c>
      <c r="T53" s="220">
        <f>I53-'[5]1.RSP Districts '!I53</f>
        <v>140</v>
      </c>
      <c r="U53" s="220">
        <f>P53-'[6]1.RSP Districts '!$P$43</f>
        <v>1124</v>
      </c>
    </row>
    <row r="54" spans="1:23" x14ac:dyDescent="0.25">
      <c r="A54" s="22">
        <v>9</v>
      </c>
      <c r="B54" s="23" t="s">
        <v>195</v>
      </c>
      <c r="C54" s="24">
        <v>47</v>
      </c>
      <c r="D54" s="24">
        <v>0</v>
      </c>
      <c r="E54" s="24">
        <f>D54</f>
        <v>0</v>
      </c>
      <c r="F54" s="102">
        <v>0</v>
      </c>
      <c r="G54" s="102">
        <f t="shared" si="7"/>
        <v>0</v>
      </c>
      <c r="H54" s="24">
        <v>0</v>
      </c>
      <c r="I54" s="24">
        <f>'[4]1.RSP Districts '!I54</f>
        <v>0</v>
      </c>
      <c r="J54" s="162">
        <v>99528</v>
      </c>
      <c r="K54" s="24">
        <v>0</v>
      </c>
      <c r="L54" s="24">
        <f>'[4]1.RSP Districts '!L54</f>
        <v>0</v>
      </c>
      <c r="M54" s="102">
        <v>0</v>
      </c>
      <c r="N54" s="102">
        <v>0</v>
      </c>
      <c r="O54" s="24">
        <v>0</v>
      </c>
      <c r="P54" s="24">
        <f>'[4]1.RSP Districts '!P54</f>
        <v>0</v>
      </c>
      <c r="Q54" s="102">
        <v>0</v>
      </c>
      <c r="R54" s="79" t="s">
        <v>9</v>
      </c>
      <c r="S54" s="1">
        <v>1</v>
      </c>
      <c r="T54" s="220">
        <f>I54-'[5]1.RSP Districts '!I54</f>
        <v>0</v>
      </c>
      <c r="U54" s="220">
        <f>P54-'[6]1.RSP Districts '!$P$43</f>
        <v>0</v>
      </c>
    </row>
    <row r="55" spans="1:23" x14ac:dyDescent="0.25">
      <c r="A55" s="22">
        <v>10</v>
      </c>
      <c r="B55" s="23" t="s">
        <v>60</v>
      </c>
      <c r="C55" s="24">
        <v>19</v>
      </c>
      <c r="D55" s="24">
        <v>17</v>
      </c>
      <c r="E55" s="24">
        <f>D55</f>
        <v>17</v>
      </c>
      <c r="F55" s="102">
        <f t="shared" si="6"/>
        <v>0</v>
      </c>
      <c r="G55" s="102">
        <f t="shared" si="7"/>
        <v>89.473684210526315</v>
      </c>
      <c r="H55" s="24">
        <v>337</v>
      </c>
      <c r="I55" s="24">
        <f>'[4]1.RSP Districts '!I55</f>
        <v>337</v>
      </c>
      <c r="J55" s="24">
        <v>24536</v>
      </c>
      <c r="K55" s="24">
        <v>14204</v>
      </c>
      <c r="L55" s="24">
        <v>14204</v>
      </c>
      <c r="M55" s="102">
        <f t="shared" si="8"/>
        <v>0</v>
      </c>
      <c r="N55" s="102">
        <f t="shared" si="9"/>
        <v>57.890446690577107</v>
      </c>
      <c r="O55" s="24">
        <v>505</v>
      </c>
      <c r="P55" s="24">
        <f>O55</f>
        <v>505</v>
      </c>
      <c r="Q55" s="102">
        <f>(P55-O55)/O55%</f>
        <v>0</v>
      </c>
      <c r="R55" s="26" t="s">
        <v>9</v>
      </c>
      <c r="S55" s="1">
        <v>1</v>
      </c>
      <c r="T55" s="220">
        <f>I55-'[5]1.RSP Districts '!I55</f>
        <v>337</v>
      </c>
      <c r="U55" s="220">
        <f>P55-'[6]1.RSP Districts '!$P$43</f>
        <v>505</v>
      </c>
    </row>
    <row r="56" spans="1:23" hidden="1" x14ac:dyDescent="0.25">
      <c r="A56" s="22">
        <v>11</v>
      </c>
      <c r="B56" s="23" t="s">
        <v>61</v>
      </c>
      <c r="C56" s="24">
        <v>45</v>
      </c>
      <c r="D56" s="24">
        <v>4</v>
      </c>
      <c r="E56" s="24">
        <f>'[7]1.RSP Districts '!E56</f>
        <v>4</v>
      </c>
      <c r="F56" s="102">
        <f t="shared" si="6"/>
        <v>0</v>
      </c>
      <c r="G56" s="102">
        <f t="shared" si="7"/>
        <v>8.8888888888888893</v>
      </c>
      <c r="H56" s="24">
        <v>22</v>
      </c>
      <c r="I56" s="24">
        <f>'[7]1.RSP Districts '!I56</f>
        <v>22</v>
      </c>
      <c r="J56" s="24">
        <v>94383</v>
      </c>
      <c r="K56" s="24">
        <v>7180</v>
      </c>
      <c r="L56" s="24">
        <f>'[7]1.RSP Districts '!L56</f>
        <v>7220</v>
      </c>
      <c r="M56" s="102">
        <f t="shared" si="8"/>
        <v>0.55710306406685239</v>
      </c>
      <c r="N56" s="102">
        <f t="shared" si="9"/>
        <v>7.649682675905618</v>
      </c>
      <c r="O56" s="24">
        <v>748</v>
      </c>
      <c r="P56" s="24">
        <f>'[7]1.RSP Districts '!P56-3</f>
        <v>748</v>
      </c>
      <c r="Q56" s="102">
        <f t="shared" si="10"/>
        <v>0</v>
      </c>
      <c r="R56" s="26" t="s">
        <v>4</v>
      </c>
      <c r="S56" s="1">
        <v>1</v>
      </c>
    </row>
    <row r="57" spans="1:23" x14ac:dyDescent="0.25">
      <c r="A57" s="22">
        <v>11</v>
      </c>
      <c r="B57" s="23" t="s">
        <v>62</v>
      </c>
      <c r="C57" s="24">
        <v>45</v>
      </c>
      <c r="D57" s="24">
        <v>45</v>
      </c>
      <c r="E57" s="24">
        <f>D57</f>
        <v>45</v>
      </c>
      <c r="F57" s="102">
        <f t="shared" si="6"/>
        <v>0</v>
      </c>
      <c r="G57" s="102">
        <f t="shared" si="7"/>
        <v>100</v>
      </c>
      <c r="H57" s="24">
        <v>157</v>
      </c>
      <c r="I57" s="24">
        <f>'[4]1.RSP Districts '!I57</f>
        <v>157</v>
      </c>
      <c r="J57" s="24">
        <v>94383</v>
      </c>
      <c r="K57" s="24">
        <v>44474</v>
      </c>
      <c r="L57" s="24">
        <f>'[4]1.RSP Districts '!L57</f>
        <v>44474</v>
      </c>
      <c r="M57" s="102">
        <f t="shared" si="8"/>
        <v>0</v>
      </c>
      <c r="N57" s="102">
        <f t="shared" si="9"/>
        <v>47.120773868175412</v>
      </c>
      <c r="O57" s="24">
        <v>1475</v>
      </c>
      <c r="P57" s="24">
        <f>O57</f>
        <v>1475</v>
      </c>
      <c r="Q57" s="102">
        <f>(P57-O57)/O57%</f>
        <v>0</v>
      </c>
      <c r="R57" s="26" t="s">
        <v>9</v>
      </c>
      <c r="S57" s="1">
        <v>1</v>
      </c>
      <c r="T57" s="220">
        <f>I57-'[5]1.RSP Districts '!I57</f>
        <v>157</v>
      </c>
      <c r="U57" s="220">
        <f>P57-'[6]1.RSP Districts '!$P$43</f>
        <v>1475</v>
      </c>
    </row>
    <row r="58" spans="1:23" hidden="1" x14ac:dyDescent="0.25">
      <c r="A58" s="22">
        <v>11</v>
      </c>
      <c r="B58" s="23" t="s">
        <v>62</v>
      </c>
      <c r="C58" s="24">
        <v>45</v>
      </c>
      <c r="D58" s="38">
        <v>2</v>
      </c>
      <c r="E58" s="38">
        <v>2</v>
      </c>
      <c r="F58" s="102">
        <f t="shared" si="6"/>
        <v>0</v>
      </c>
      <c r="G58" s="102">
        <f t="shared" si="7"/>
        <v>4.4444444444444446</v>
      </c>
      <c r="H58" s="38">
        <v>16</v>
      </c>
      <c r="I58" s="38">
        <v>16</v>
      </c>
      <c r="J58" s="24">
        <v>94383</v>
      </c>
      <c r="K58" s="38">
        <v>3617</v>
      </c>
      <c r="L58" s="38">
        <v>4341</v>
      </c>
      <c r="M58" s="102">
        <f t="shared" si="8"/>
        <v>20.016588332872544</v>
      </c>
      <c r="N58" s="102">
        <f t="shared" si="9"/>
        <v>4.5993452210673533</v>
      </c>
      <c r="O58" s="38">
        <v>233</v>
      </c>
      <c r="P58" s="38">
        <v>280</v>
      </c>
      <c r="Q58" s="102">
        <f t="shared" si="10"/>
        <v>20.171673819742487</v>
      </c>
      <c r="R58" s="26" t="s">
        <v>5</v>
      </c>
      <c r="S58" s="1">
        <v>1</v>
      </c>
      <c r="W58" s="220">
        <f>I58-'[2]1.RSP Districts '!I58</f>
        <v>16</v>
      </c>
    </row>
    <row r="59" spans="1:23" x14ac:dyDescent="0.25">
      <c r="A59" s="22">
        <v>12</v>
      </c>
      <c r="B59" s="23" t="s">
        <v>63</v>
      </c>
      <c r="C59" s="24">
        <v>21</v>
      </c>
      <c r="D59" s="24">
        <v>21</v>
      </c>
      <c r="E59" s="24">
        <f>D59</f>
        <v>21</v>
      </c>
      <c r="F59" s="102">
        <f t="shared" si="6"/>
        <v>0</v>
      </c>
      <c r="G59" s="102">
        <f t="shared" si="7"/>
        <v>100</v>
      </c>
      <c r="H59" s="24">
        <v>117</v>
      </c>
      <c r="I59" s="24">
        <f>'[4]1.RSP Districts '!I59</f>
        <v>117</v>
      </c>
      <c r="J59" s="24">
        <v>40734</v>
      </c>
      <c r="K59" s="24">
        <v>49483</v>
      </c>
      <c r="L59" s="24">
        <f>'[4]1.RSP Districts '!L59</f>
        <v>49483</v>
      </c>
      <c r="M59" s="102">
        <f t="shared" si="8"/>
        <v>0</v>
      </c>
      <c r="N59" s="102">
        <f t="shared" si="9"/>
        <v>121.47837187607405</v>
      </c>
      <c r="O59" s="24">
        <v>1997</v>
      </c>
      <c r="P59" s="24">
        <f>O59</f>
        <v>1997</v>
      </c>
      <c r="Q59" s="102">
        <f>(P59-O59)/O59%</f>
        <v>0</v>
      </c>
      <c r="R59" s="26" t="s">
        <v>9</v>
      </c>
      <c r="S59" s="1">
        <v>1</v>
      </c>
      <c r="T59" s="220">
        <f>I59-'[5]1.RSP Districts '!I59</f>
        <v>117</v>
      </c>
      <c r="U59" s="220">
        <f>P59-'[6]1.RSP Districts '!$P$43</f>
        <v>1997</v>
      </c>
    </row>
    <row r="60" spans="1:23" x14ac:dyDescent="0.25">
      <c r="A60" s="22">
        <v>13</v>
      </c>
      <c r="B60" s="23" t="s">
        <v>64</v>
      </c>
      <c r="C60" s="24">
        <v>32</v>
      </c>
      <c r="D60" s="24">
        <v>32</v>
      </c>
      <c r="E60" s="24">
        <f>D60</f>
        <v>32</v>
      </c>
      <c r="F60" s="102">
        <f t="shared" si="6"/>
        <v>0</v>
      </c>
      <c r="G60" s="102">
        <f t="shared" si="7"/>
        <v>100</v>
      </c>
      <c r="H60" s="24">
        <v>243</v>
      </c>
      <c r="I60" s="24">
        <f>'[4]1.RSP Districts '!I60</f>
        <v>243</v>
      </c>
      <c r="J60" s="24">
        <v>55911</v>
      </c>
      <c r="K60" s="24">
        <v>69685</v>
      </c>
      <c r="L60" s="24">
        <f>'[4]1.RSP Districts '!L60</f>
        <v>69685</v>
      </c>
      <c r="M60" s="102">
        <f t="shared" si="8"/>
        <v>0</v>
      </c>
      <c r="N60" s="102">
        <f t="shared" si="9"/>
        <v>124.6355815492479</v>
      </c>
      <c r="O60" s="24">
        <v>3129</v>
      </c>
      <c r="P60" s="24">
        <f>O60</f>
        <v>3129</v>
      </c>
      <c r="Q60" s="102">
        <f>(P60-O60)/O60%</f>
        <v>0</v>
      </c>
      <c r="R60" s="26" t="s">
        <v>9</v>
      </c>
      <c r="S60" s="1">
        <v>1</v>
      </c>
      <c r="T60" s="220">
        <f>I60-'[5]1.RSP Districts '!I60</f>
        <v>243</v>
      </c>
      <c r="U60" s="220">
        <f>P60-'[6]1.RSP Districts '!$P$43</f>
        <v>3129</v>
      </c>
    </row>
    <row r="61" spans="1:23" x14ac:dyDescent="0.25">
      <c r="A61" s="22">
        <v>14</v>
      </c>
      <c r="B61" s="23" t="s">
        <v>65</v>
      </c>
      <c r="C61" s="24">
        <v>38</v>
      </c>
      <c r="D61" s="24">
        <v>38</v>
      </c>
      <c r="E61" s="24">
        <f>D61</f>
        <v>38</v>
      </c>
      <c r="F61" s="102">
        <f t="shared" si="6"/>
        <v>0</v>
      </c>
      <c r="G61" s="102">
        <f t="shared" si="7"/>
        <v>100</v>
      </c>
      <c r="H61" s="24">
        <v>132</v>
      </c>
      <c r="I61" s="24">
        <f>'[4]1.RSP Districts '!I61</f>
        <v>132</v>
      </c>
      <c r="J61" s="24">
        <v>74041</v>
      </c>
      <c r="K61" s="24">
        <v>34916</v>
      </c>
      <c r="L61" s="24">
        <v>36549</v>
      </c>
      <c r="M61" s="102">
        <f t="shared" si="8"/>
        <v>4.6769389391682896</v>
      </c>
      <c r="N61" s="102">
        <f t="shared" si="9"/>
        <v>49.363190664631759</v>
      </c>
      <c r="O61" s="24">
        <v>2301</v>
      </c>
      <c r="P61" s="24">
        <f>'[4]1.RSP Districts '!P61</f>
        <v>2372</v>
      </c>
      <c r="Q61" s="102">
        <f>(P61-O61)/O61%</f>
        <v>3.0856149500217294</v>
      </c>
      <c r="R61" s="26" t="s">
        <v>9</v>
      </c>
      <c r="S61" s="1">
        <v>1</v>
      </c>
      <c r="T61" s="220">
        <f>I61-'[5]1.RSP Districts '!I61</f>
        <v>132</v>
      </c>
      <c r="U61" s="220">
        <f>P61-'[6]1.RSP Districts '!$P$43</f>
        <v>2372</v>
      </c>
    </row>
    <row r="62" spans="1:23" hidden="1" x14ac:dyDescent="0.25">
      <c r="A62" s="22">
        <v>15</v>
      </c>
      <c r="B62" s="23" t="s">
        <v>197</v>
      </c>
      <c r="C62" s="24">
        <v>33</v>
      </c>
      <c r="D62" s="24"/>
      <c r="E62" s="24"/>
      <c r="F62" s="102">
        <v>0</v>
      </c>
      <c r="G62" s="102">
        <f t="shared" si="7"/>
        <v>0</v>
      </c>
      <c r="H62" s="102">
        <v>0</v>
      </c>
      <c r="I62" s="102">
        <v>0</v>
      </c>
      <c r="J62" s="162">
        <v>48700</v>
      </c>
      <c r="K62" s="24">
        <v>0</v>
      </c>
      <c r="L62" s="24">
        <v>0</v>
      </c>
      <c r="M62" s="102">
        <v>0</v>
      </c>
      <c r="N62" s="102">
        <v>0</v>
      </c>
      <c r="O62" s="24">
        <v>0</v>
      </c>
      <c r="P62" s="25">
        <v>0</v>
      </c>
      <c r="Q62" s="102">
        <v>0</v>
      </c>
      <c r="R62" s="79">
        <v>0</v>
      </c>
      <c r="S62" s="1">
        <v>1</v>
      </c>
    </row>
    <row r="63" spans="1:23" hidden="1" x14ac:dyDescent="0.25">
      <c r="A63" s="22">
        <v>16</v>
      </c>
      <c r="B63" s="23" t="s">
        <v>66</v>
      </c>
      <c r="C63" s="24">
        <v>28</v>
      </c>
      <c r="D63" s="38">
        <v>25</v>
      </c>
      <c r="E63" s="38">
        <v>25</v>
      </c>
      <c r="F63" s="102">
        <f t="shared" si="6"/>
        <v>0</v>
      </c>
      <c r="G63" s="102">
        <f t="shared" si="7"/>
        <v>89.285714285714278</v>
      </c>
      <c r="H63" s="38">
        <v>193</v>
      </c>
      <c r="I63" s="38">
        <v>193</v>
      </c>
      <c r="J63" s="24">
        <v>45731</v>
      </c>
      <c r="K63" s="38">
        <v>29040</v>
      </c>
      <c r="L63" s="38">
        <v>29040</v>
      </c>
      <c r="M63" s="102">
        <f t="shared" si="8"/>
        <v>0</v>
      </c>
      <c r="N63" s="102">
        <f t="shared" si="9"/>
        <v>63.50178216089742</v>
      </c>
      <c r="O63" s="38">
        <v>1848</v>
      </c>
      <c r="P63" s="38">
        <v>1848</v>
      </c>
      <c r="Q63" s="102">
        <f t="shared" si="10"/>
        <v>0</v>
      </c>
      <c r="R63" s="26" t="s">
        <v>5</v>
      </c>
      <c r="S63" s="1">
        <v>1</v>
      </c>
      <c r="W63" s="220">
        <f>I63-'[2]1.RSP Districts '!I63</f>
        <v>193</v>
      </c>
    </row>
    <row r="64" spans="1:23" x14ac:dyDescent="0.25">
      <c r="A64" s="22">
        <v>16</v>
      </c>
      <c r="B64" s="23" t="s">
        <v>236</v>
      </c>
      <c r="C64" s="24">
        <v>28</v>
      </c>
      <c r="D64" s="24">
        <v>13</v>
      </c>
      <c r="E64" s="24">
        <f>D64</f>
        <v>13</v>
      </c>
      <c r="F64" s="102">
        <f t="shared" si="6"/>
        <v>0</v>
      </c>
      <c r="G64" s="102">
        <f t="shared" si="7"/>
        <v>46.428571428571423</v>
      </c>
      <c r="H64" s="24">
        <v>43</v>
      </c>
      <c r="I64" s="24">
        <f>'[4]1.RSP Districts '!I64</f>
        <v>43</v>
      </c>
      <c r="J64" s="24">
        <v>45731</v>
      </c>
      <c r="K64" s="24">
        <v>9946</v>
      </c>
      <c r="L64" s="24">
        <v>12614</v>
      </c>
      <c r="M64" s="102">
        <f t="shared" si="8"/>
        <v>26.824854212748846</v>
      </c>
      <c r="N64" s="102">
        <f t="shared" si="9"/>
        <v>27.583039951017909</v>
      </c>
      <c r="O64" s="24">
        <v>307</v>
      </c>
      <c r="P64" s="24">
        <v>423</v>
      </c>
      <c r="Q64" s="102">
        <f>(P64-O64)/O64%</f>
        <v>37.785016286644954</v>
      </c>
      <c r="R64" s="26" t="s">
        <v>9</v>
      </c>
      <c r="S64" s="1">
        <v>1</v>
      </c>
      <c r="T64" s="220">
        <f>I64-'[5]1.RSP Districts '!I64</f>
        <v>43</v>
      </c>
      <c r="U64" s="220">
        <f>P64-'[6]1.RSP Districts '!$P$43</f>
        <v>423</v>
      </c>
    </row>
    <row r="65" spans="1:23" x14ac:dyDescent="0.25">
      <c r="A65" s="22">
        <v>17</v>
      </c>
      <c r="B65" s="23" t="s">
        <v>67</v>
      </c>
      <c r="C65" s="24">
        <v>59</v>
      </c>
      <c r="D65" s="24">
        <v>55</v>
      </c>
      <c r="E65" s="24">
        <f>D65</f>
        <v>55</v>
      </c>
      <c r="F65" s="102">
        <f t="shared" si="6"/>
        <v>0</v>
      </c>
      <c r="G65" s="102">
        <f t="shared" si="7"/>
        <v>93.220338983050851</v>
      </c>
      <c r="H65" s="24">
        <v>390</v>
      </c>
      <c r="I65" s="24">
        <f>'[4]1.RSP Districts '!I65</f>
        <v>390</v>
      </c>
      <c r="J65" s="24">
        <v>167833</v>
      </c>
      <c r="K65" s="24">
        <v>110566</v>
      </c>
      <c r="L65" s="24">
        <f>'[4]1.RSP Districts '!L65</f>
        <v>110566</v>
      </c>
      <c r="M65" s="102">
        <f t="shared" si="8"/>
        <v>0</v>
      </c>
      <c r="N65" s="102">
        <f t="shared" si="9"/>
        <v>65.878581685365816</v>
      </c>
      <c r="O65" s="24">
        <v>3865</v>
      </c>
      <c r="P65" s="24">
        <f>O65</f>
        <v>3865</v>
      </c>
      <c r="Q65" s="102">
        <f>(P65-O65)/O65%</f>
        <v>0</v>
      </c>
      <c r="R65" s="26" t="s">
        <v>9</v>
      </c>
      <c r="S65" s="1">
        <v>1</v>
      </c>
      <c r="T65" s="220">
        <f>I65-'[5]1.RSP Districts '!I65</f>
        <v>390</v>
      </c>
      <c r="U65" s="220">
        <f>P65-'[6]1.RSP Districts '!$P$43</f>
        <v>3865</v>
      </c>
    </row>
    <row r="66" spans="1:23" hidden="1" x14ac:dyDescent="0.25">
      <c r="A66" s="22">
        <v>18</v>
      </c>
      <c r="B66" s="23" t="s">
        <v>68</v>
      </c>
      <c r="C66" s="24">
        <v>75</v>
      </c>
      <c r="D66" s="38">
        <v>63</v>
      </c>
      <c r="E66" s="38">
        <v>63</v>
      </c>
      <c r="F66" s="102">
        <f t="shared" si="6"/>
        <v>0</v>
      </c>
      <c r="G66" s="102">
        <f t="shared" si="7"/>
        <v>84</v>
      </c>
      <c r="H66" s="38">
        <v>187</v>
      </c>
      <c r="I66" s="38">
        <v>187</v>
      </c>
      <c r="J66" s="24">
        <v>141386</v>
      </c>
      <c r="K66" s="38">
        <v>53799</v>
      </c>
      <c r="L66" s="38">
        <v>53799</v>
      </c>
      <c r="M66" s="102">
        <f t="shared" si="8"/>
        <v>0</v>
      </c>
      <c r="N66" s="102">
        <f t="shared" si="9"/>
        <v>38.051150750427908</v>
      </c>
      <c r="O66" s="38">
        <v>3781</v>
      </c>
      <c r="P66" s="38">
        <v>3781</v>
      </c>
      <c r="Q66" s="102">
        <f t="shared" si="10"/>
        <v>0</v>
      </c>
      <c r="R66" s="26" t="s">
        <v>5</v>
      </c>
      <c r="S66" s="1">
        <v>1</v>
      </c>
      <c r="W66" s="220">
        <f>I66-'[2]1.RSP Districts '!I66</f>
        <v>187</v>
      </c>
    </row>
    <row r="67" spans="1:23" x14ac:dyDescent="0.25">
      <c r="A67" s="22">
        <v>18</v>
      </c>
      <c r="B67" s="23" t="s">
        <v>277</v>
      </c>
      <c r="C67" s="24">
        <v>75</v>
      </c>
      <c r="D67" s="24">
        <v>20</v>
      </c>
      <c r="E67" s="24">
        <f>D67</f>
        <v>20</v>
      </c>
      <c r="F67" s="102">
        <f t="shared" si="6"/>
        <v>0</v>
      </c>
      <c r="G67" s="102">
        <f t="shared" si="7"/>
        <v>26.666666666666668</v>
      </c>
      <c r="H67" s="24">
        <v>63</v>
      </c>
      <c r="I67" s="24">
        <f>'[4]1.RSP Districts '!I67</f>
        <v>63</v>
      </c>
      <c r="J67" s="24">
        <v>141386</v>
      </c>
      <c r="K67" s="24">
        <v>42732</v>
      </c>
      <c r="L67" s="24">
        <f>'[4]1.RSP Districts '!L67</f>
        <v>42732</v>
      </c>
      <c r="M67" s="102">
        <f t="shared" si="8"/>
        <v>0</v>
      </c>
      <c r="N67" s="102">
        <f t="shared" si="9"/>
        <v>30.223643076400776</v>
      </c>
      <c r="O67" s="24">
        <v>1838</v>
      </c>
      <c r="P67" s="24">
        <f>O67</f>
        <v>1838</v>
      </c>
      <c r="Q67" s="102">
        <f>(P67-O67)/O67%</f>
        <v>0</v>
      </c>
      <c r="R67" s="26" t="s">
        <v>9</v>
      </c>
      <c r="S67" s="1">
        <v>1</v>
      </c>
      <c r="T67" s="220">
        <f>I67-'[5]1.RSP Districts '!I67</f>
        <v>63</v>
      </c>
      <c r="U67" s="220">
        <f>P67-'[6]1.RSP Districts '!$P$43</f>
        <v>1838</v>
      </c>
    </row>
    <row r="68" spans="1:23" x14ac:dyDescent="0.25">
      <c r="A68" s="22">
        <v>19</v>
      </c>
      <c r="B68" s="23" t="s">
        <v>69</v>
      </c>
      <c r="C68" s="24">
        <v>48</v>
      </c>
      <c r="D68" s="24">
        <v>10</v>
      </c>
      <c r="E68" s="24">
        <f>D68</f>
        <v>10</v>
      </c>
      <c r="F68" s="102">
        <f t="shared" si="6"/>
        <v>0</v>
      </c>
      <c r="G68" s="102">
        <f t="shared" si="7"/>
        <v>20.833333333333336</v>
      </c>
      <c r="H68" s="24">
        <v>33</v>
      </c>
      <c r="I68" s="24">
        <f>'[4]1.RSP Districts '!I68</f>
        <v>33</v>
      </c>
      <c r="J68" s="24">
        <v>84851</v>
      </c>
      <c r="K68" s="24">
        <v>18823</v>
      </c>
      <c r="L68" s="24">
        <v>19490</v>
      </c>
      <c r="M68" s="102">
        <f t="shared" si="8"/>
        <v>3.5435371619826808</v>
      </c>
      <c r="N68" s="102">
        <f t="shared" si="9"/>
        <v>22.969676256025267</v>
      </c>
      <c r="O68" s="24">
        <v>813</v>
      </c>
      <c r="P68" s="24">
        <f>'[4]1.RSP Districts '!P68</f>
        <v>842</v>
      </c>
      <c r="Q68" s="102">
        <f>(P68-O68)/O68%</f>
        <v>3.5670356703567032</v>
      </c>
      <c r="R68" s="26" t="s">
        <v>9</v>
      </c>
      <c r="S68" s="1">
        <v>1</v>
      </c>
      <c r="T68" s="220">
        <f>I68-'[5]1.RSP Districts '!I68</f>
        <v>33</v>
      </c>
      <c r="U68" s="220">
        <f>P68-'[6]1.RSP Districts '!$P$43</f>
        <v>842</v>
      </c>
    </row>
    <row r="69" spans="1:23" hidden="1" x14ac:dyDescent="0.25">
      <c r="A69" s="22">
        <v>19</v>
      </c>
      <c r="B69" s="23" t="s">
        <v>235</v>
      </c>
      <c r="C69" s="24">
        <v>48</v>
      </c>
      <c r="D69" s="38">
        <v>13</v>
      </c>
      <c r="E69" s="38">
        <v>13</v>
      </c>
      <c r="F69" s="102">
        <f t="shared" si="6"/>
        <v>0</v>
      </c>
      <c r="G69" s="102">
        <f t="shared" si="7"/>
        <v>27.083333333333336</v>
      </c>
      <c r="H69" s="38">
        <v>176</v>
      </c>
      <c r="I69" s="38">
        <v>176</v>
      </c>
      <c r="J69" s="24">
        <v>84851</v>
      </c>
      <c r="K69" s="38">
        <v>3531</v>
      </c>
      <c r="L69" s="38">
        <v>4059</v>
      </c>
      <c r="M69" s="102">
        <f t="shared" si="8"/>
        <v>14.953271028037383</v>
      </c>
      <c r="N69" s="102">
        <f t="shared" si="9"/>
        <v>4.7836796266396391</v>
      </c>
      <c r="O69" s="38">
        <v>175</v>
      </c>
      <c r="P69" s="38">
        <v>204</v>
      </c>
      <c r="Q69" s="102">
        <f t="shared" si="10"/>
        <v>16.571428571428573</v>
      </c>
      <c r="R69" s="26" t="s">
        <v>5</v>
      </c>
      <c r="S69" s="1">
        <v>1</v>
      </c>
      <c r="W69" s="220">
        <f>I69-'[2]1.RSP Districts '!I69</f>
        <v>176</v>
      </c>
    </row>
    <row r="70" spans="1:23" x14ac:dyDescent="0.25">
      <c r="A70" s="22">
        <v>20</v>
      </c>
      <c r="B70" s="23" t="s">
        <v>70</v>
      </c>
      <c r="C70" s="24">
        <v>67</v>
      </c>
      <c r="D70" s="24">
        <v>17</v>
      </c>
      <c r="E70" s="24">
        <f>D70</f>
        <v>17</v>
      </c>
      <c r="F70" s="102">
        <f t="shared" si="6"/>
        <v>0</v>
      </c>
      <c r="G70" s="102">
        <f t="shared" si="7"/>
        <v>25.373134328358208</v>
      </c>
      <c r="H70" s="24">
        <v>55</v>
      </c>
      <c r="I70" s="24">
        <f>'[4]1.RSP Districts '!I70</f>
        <v>55</v>
      </c>
      <c r="J70" s="24">
        <v>132070</v>
      </c>
      <c r="K70" s="24">
        <v>16912</v>
      </c>
      <c r="L70" s="24">
        <v>17418</v>
      </c>
      <c r="M70" s="102">
        <f t="shared" si="8"/>
        <v>2.9919583727530745</v>
      </c>
      <c r="N70" s="102">
        <f t="shared" si="9"/>
        <v>13.188460664798971</v>
      </c>
      <c r="O70" s="24">
        <v>830</v>
      </c>
      <c r="P70" s="24">
        <f>'[4]1.RSP Districts '!P70</f>
        <v>852</v>
      </c>
      <c r="Q70" s="102">
        <f>(P70-O70)/O70%</f>
        <v>2.6506024096385539</v>
      </c>
      <c r="R70" s="26" t="s">
        <v>9</v>
      </c>
      <c r="S70" s="1">
        <v>1</v>
      </c>
      <c r="T70" s="220">
        <f>I70-'[5]1.RSP Districts '!I70</f>
        <v>55</v>
      </c>
      <c r="U70" s="220">
        <f>P70-'[6]1.RSP Districts '!$P$43</f>
        <v>852</v>
      </c>
    </row>
    <row r="71" spans="1:23" x14ac:dyDescent="0.25">
      <c r="A71" s="22">
        <v>21</v>
      </c>
      <c r="B71" s="23" t="s">
        <v>71</v>
      </c>
      <c r="C71" s="24">
        <v>28</v>
      </c>
      <c r="D71" s="24">
        <v>28</v>
      </c>
      <c r="E71" s="24">
        <f>D71</f>
        <v>28</v>
      </c>
      <c r="F71" s="102">
        <f t="shared" si="6"/>
        <v>0</v>
      </c>
      <c r="G71" s="102">
        <f t="shared" si="7"/>
        <v>99.999999999999986</v>
      </c>
      <c r="H71" s="24">
        <v>115</v>
      </c>
      <c r="I71" s="24">
        <f>'[4]1.RSP Districts '!I71</f>
        <v>115</v>
      </c>
      <c r="J71" s="24">
        <v>53994</v>
      </c>
      <c r="K71" s="24">
        <v>36372</v>
      </c>
      <c r="L71" s="24">
        <v>37867</v>
      </c>
      <c r="M71" s="102">
        <f t="shared" si="8"/>
        <v>4.1103046299351149</v>
      </c>
      <c r="N71" s="102">
        <f t="shared" si="9"/>
        <v>70.131866503685586</v>
      </c>
      <c r="O71" s="24">
        <v>2051</v>
      </c>
      <c r="P71" s="24">
        <f>'[4]1.RSP Districts '!P71</f>
        <v>2116</v>
      </c>
      <c r="Q71" s="102">
        <f>(P71-O71)/O71%</f>
        <v>3.1691857630424183</v>
      </c>
      <c r="R71" s="26" t="s">
        <v>9</v>
      </c>
      <c r="S71" s="1">
        <v>1</v>
      </c>
      <c r="T71" s="220">
        <f>I71-'[5]1.RSP Districts '!I71</f>
        <v>115</v>
      </c>
      <c r="U71" s="220">
        <f>P71-'[6]1.RSP Districts '!$P$43</f>
        <v>2116</v>
      </c>
    </row>
    <row r="72" spans="1:23" hidden="1" x14ac:dyDescent="0.25">
      <c r="A72" s="22">
        <v>22</v>
      </c>
      <c r="B72" s="23" t="s">
        <v>72</v>
      </c>
      <c r="C72" s="24">
        <v>55</v>
      </c>
      <c r="D72" s="24">
        <v>6</v>
      </c>
      <c r="E72" s="24">
        <f>'[7]1.RSP Districts '!E72</f>
        <v>6</v>
      </c>
      <c r="F72" s="102">
        <f t="shared" si="6"/>
        <v>0</v>
      </c>
      <c r="G72" s="102">
        <f t="shared" si="7"/>
        <v>10.909090909090908</v>
      </c>
      <c r="H72" s="24">
        <v>23</v>
      </c>
      <c r="I72" s="24">
        <f>'[7]1.RSP Districts '!I72</f>
        <v>23</v>
      </c>
      <c r="J72" s="24">
        <v>112083</v>
      </c>
      <c r="K72" s="24">
        <v>8522</v>
      </c>
      <c r="L72" s="24">
        <f>'[7]1.RSP Districts '!L72</f>
        <v>8632</v>
      </c>
      <c r="M72" s="102">
        <f t="shared" si="8"/>
        <v>1.2907768129547055</v>
      </c>
      <c r="N72" s="102">
        <f t="shared" si="9"/>
        <v>7.7014355433027317</v>
      </c>
      <c r="O72" s="24">
        <v>754</v>
      </c>
      <c r="P72" s="24">
        <f>'[7]1.RSP Districts '!P72</f>
        <v>762</v>
      </c>
      <c r="Q72" s="102">
        <f t="shared" si="10"/>
        <v>1.0610079575596818</v>
      </c>
      <c r="R72" s="26" t="s">
        <v>4</v>
      </c>
      <c r="S72" s="1">
        <v>1</v>
      </c>
    </row>
    <row r="73" spans="1:23" hidden="1" x14ac:dyDescent="0.25">
      <c r="A73" s="22">
        <v>22</v>
      </c>
      <c r="B73" s="23" t="s">
        <v>73</v>
      </c>
      <c r="C73" s="24">
        <v>55</v>
      </c>
      <c r="D73" s="38">
        <v>38</v>
      </c>
      <c r="E73" s="38">
        <v>38</v>
      </c>
      <c r="F73" s="102">
        <f t="shared" si="6"/>
        <v>0</v>
      </c>
      <c r="G73" s="102">
        <f t="shared" si="7"/>
        <v>69.090909090909079</v>
      </c>
      <c r="H73" s="38">
        <v>179</v>
      </c>
      <c r="I73" s="38">
        <v>179</v>
      </c>
      <c r="J73" s="24">
        <v>112083</v>
      </c>
      <c r="K73" s="38">
        <v>27857</v>
      </c>
      <c r="L73" s="38">
        <v>28215</v>
      </c>
      <c r="M73" s="102">
        <f t="shared" si="8"/>
        <v>1.2851347955630541</v>
      </c>
      <c r="N73" s="102">
        <f t="shared" si="9"/>
        <v>25.173309065603171</v>
      </c>
      <c r="O73" s="38">
        <v>1765</v>
      </c>
      <c r="P73" s="38">
        <v>1788</v>
      </c>
      <c r="Q73" s="102">
        <f t="shared" si="10"/>
        <v>1.303116147308782</v>
      </c>
      <c r="R73" s="26" t="s">
        <v>5</v>
      </c>
      <c r="S73" s="1">
        <v>1</v>
      </c>
      <c r="W73" s="220">
        <f>I73-'[2]1.RSP Districts '!I73</f>
        <v>179</v>
      </c>
    </row>
    <row r="74" spans="1:23" hidden="1" x14ac:dyDescent="0.25">
      <c r="A74" s="22">
        <v>23</v>
      </c>
      <c r="B74" s="23" t="s">
        <v>74</v>
      </c>
      <c r="C74" s="24">
        <v>65</v>
      </c>
      <c r="D74" s="38">
        <v>19</v>
      </c>
      <c r="E74" s="38">
        <v>19</v>
      </c>
      <c r="F74" s="102">
        <f t="shared" si="6"/>
        <v>0</v>
      </c>
      <c r="G74" s="102">
        <f t="shared" si="7"/>
        <v>29.23076923076923</v>
      </c>
      <c r="H74" s="38">
        <v>224</v>
      </c>
      <c r="I74" s="38">
        <v>224</v>
      </c>
      <c r="J74" s="24">
        <v>125377</v>
      </c>
      <c r="K74" s="38">
        <v>7507</v>
      </c>
      <c r="L74" s="38">
        <v>7507</v>
      </c>
      <c r="M74" s="102">
        <f t="shared" si="8"/>
        <v>0</v>
      </c>
      <c r="N74" s="102">
        <f t="shared" si="9"/>
        <v>5.9875415746109732</v>
      </c>
      <c r="O74" s="38">
        <v>356</v>
      </c>
      <c r="P74" s="38">
        <v>356</v>
      </c>
      <c r="Q74" s="102">
        <f t="shared" si="10"/>
        <v>0</v>
      </c>
      <c r="R74" s="26" t="s">
        <v>5</v>
      </c>
      <c r="S74" s="1">
        <v>1</v>
      </c>
      <c r="W74" s="220">
        <f>I74-'[2]1.RSP Districts '!I74</f>
        <v>224</v>
      </c>
    </row>
    <row r="75" spans="1:23" x14ac:dyDescent="0.25">
      <c r="A75" s="22">
        <v>23</v>
      </c>
      <c r="B75" s="23" t="s">
        <v>75</v>
      </c>
      <c r="C75" s="24">
        <v>65</v>
      </c>
      <c r="D75" s="24">
        <v>65</v>
      </c>
      <c r="E75" s="24">
        <v>67</v>
      </c>
      <c r="F75" s="102">
        <f t="shared" si="6"/>
        <v>3.0769230769230766</v>
      </c>
      <c r="G75" s="102">
        <f t="shared" si="7"/>
        <v>103.07692307692308</v>
      </c>
      <c r="H75" s="24">
        <v>132</v>
      </c>
      <c r="I75" s="24">
        <v>136</v>
      </c>
      <c r="J75" s="24">
        <v>125377</v>
      </c>
      <c r="K75" s="24">
        <v>28810</v>
      </c>
      <c r="L75" s="24">
        <v>32237</v>
      </c>
      <c r="M75" s="102">
        <f t="shared" si="8"/>
        <v>11.895175286358903</v>
      </c>
      <c r="N75" s="102">
        <f t="shared" si="9"/>
        <v>25.71205244981137</v>
      </c>
      <c r="O75" s="24">
        <v>1623</v>
      </c>
      <c r="P75" s="24">
        <f>'[4]1.RSP Districts '!P75</f>
        <v>1772</v>
      </c>
      <c r="Q75" s="102">
        <f>(P75-O75)/O75%</f>
        <v>9.1805298829328397</v>
      </c>
      <c r="R75" s="26" t="s">
        <v>9</v>
      </c>
      <c r="S75" s="1">
        <v>1</v>
      </c>
      <c r="T75" s="220">
        <f>I75-'[5]1.RSP Districts '!I75</f>
        <v>136</v>
      </c>
      <c r="U75" s="220">
        <f>P75-'[6]1.RSP Districts '!$P$43</f>
        <v>1772</v>
      </c>
    </row>
    <row r="76" spans="1:23" hidden="1" x14ac:dyDescent="0.25">
      <c r="A76" s="36">
        <v>24</v>
      </c>
      <c r="B76" s="37" t="s">
        <v>196</v>
      </c>
      <c r="C76" s="38">
        <v>16</v>
      </c>
      <c r="D76" s="24"/>
      <c r="E76" s="38"/>
      <c r="F76" s="134">
        <v>0</v>
      </c>
      <c r="G76" s="134">
        <f t="shared" si="7"/>
        <v>0</v>
      </c>
      <c r="H76" s="134">
        <v>0</v>
      </c>
      <c r="I76" s="134">
        <v>0</v>
      </c>
      <c r="J76" s="162">
        <v>22411</v>
      </c>
      <c r="K76" s="24">
        <v>0</v>
      </c>
      <c r="L76" s="38">
        <v>0</v>
      </c>
      <c r="M76" s="134">
        <v>0</v>
      </c>
      <c r="N76" s="134">
        <v>0</v>
      </c>
      <c r="O76" s="24">
        <v>0</v>
      </c>
      <c r="P76" s="40">
        <v>0</v>
      </c>
      <c r="Q76" s="134">
        <v>0</v>
      </c>
      <c r="R76" s="88">
        <v>0</v>
      </c>
      <c r="S76" s="1">
        <v>1</v>
      </c>
    </row>
    <row r="77" spans="1:23" s="4" customFormat="1" ht="14.4" hidden="1" thickBot="1" x14ac:dyDescent="0.3">
      <c r="A77" s="148">
        <f>COUNTIF(R43:R76,"*")-10</f>
        <v>21</v>
      </c>
      <c r="B77" s="147" t="s">
        <v>76</v>
      </c>
      <c r="C77" s="56">
        <f>SUM(C43:C76)-(C47+C48+C51+C56+C67+C72+C75+C68+C64+C57)</f>
        <v>964</v>
      </c>
      <c r="D77" s="56">
        <f>SUM(D43:D76)-(D47+D48+D51+D56+D67+D72+D75+D68+D64+D57)</f>
        <v>559</v>
      </c>
      <c r="E77" s="56">
        <f>SUM(E43:E76)-(E47+E48+E51+E56+E67+E72+E75+E68+E64+E57)</f>
        <v>559</v>
      </c>
      <c r="F77" s="149">
        <f t="shared" si="6"/>
        <v>0</v>
      </c>
      <c r="G77" s="149">
        <f t="shared" si="7"/>
        <v>57.987551867219914</v>
      </c>
      <c r="H77" s="56">
        <f>SUM(H43:H76)</f>
        <v>5059</v>
      </c>
      <c r="I77" s="56">
        <f>SUM(I43:I76)</f>
        <v>5063</v>
      </c>
      <c r="J77" s="56">
        <f>SUM(J43:J76)-(J47+J48+J51+J56+J67+J72+J75+J68+J64+J57)</f>
        <v>1889904</v>
      </c>
      <c r="K77" s="56">
        <f>SUM(K43:K76)</f>
        <v>921858</v>
      </c>
      <c r="L77" s="56">
        <f>SUM(L43:L76)</f>
        <v>953058</v>
      </c>
      <c r="M77" s="149">
        <f t="shared" si="8"/>
        <v>3.3844691915674647</v>
      </c>
      <c r="N77" s="149">
        <f t="shared" si="9"/>
        <v>50.428910674827925</v>
      </c>
      <c r="O77" s="56">
        <f>SUM(O43:O76)</f>
        <v>42261</v>
      </c>
      <c r="P77" s="56">
        <f>SUM(P43:P76)</f>
        <v>43648</v>
      </c>
      <c r="Q77" s="149">
        <f t="shared" si="10"/>
        <v>3.2819857551879981</v>
      </c>
      <c r="R77" s="151"/>
      <c r="S77" s="1">
        <v>1</v>
      </c>
    </row>
    <row r="78" spans="1:23" ht="8.25" hidden="1" customHeight="1" thickBot="1" x14ac:dyDescent="0.35">
      <c r="A78" s="12"/>
      <c r="B78" s="13"/>
      <c r="C78" s="58"/>
      <c r="D78" s="27"/>
      <c r="E78" s="27"/>
      <c r="F78" s="103"/>
      <c r="G78" s="103"/>
      <c r="H78" s="103"/>
      <c r="I78" s="103"/>
      <c r="J78" s="58"/>
      <c r="K78" s="27"/>
      <c r="L78" s="27"/>
      <c r="M78" s="27"/>
      <c r="N78" s="27"/>
      <c r="O78" s="27"/>
      <c r="P78" s="27"/>
      <c r="Q78" s="27"/>
      <c r="R78" s="14"/>
      <c r="S78" s="1">
        <v>1</v>
      </c>
    </row>
    <row r="79" spans="1:23" s="5" customFormat="1" hidden="1" x14ac:dyDescent="0.25">
      <c r="A79" s="17" t="s">
        <v>77</v>
      </c>
      <c r="B79" s="18"/>
      <c r="C79" s="19"/>
      <c r="D79" s="28"/>
      <c r="E79" s="28"/>
      <c r="F79" s="104"/>
      <c r="G79" s="104"/>
      <c r="H79" s="104"/>
      <c r="I79" s="104"/>
      <c r="J79" s="19"/>
      <c r="K79" s="28"/>
      <c r="L79" s="28"/>
      <c r="M79" s="28"/>
      <c r="N79" s="28"/>
      <c r="O79" s="28"/>
      <c r="P79" s="28"/>
      <c r="Q79" s="28"/>
      <c r="R79" s="21"/>
      <c r="S79" s="1">
        <v>1</v>
      </c>
    </row>
    <row r="80" spans="1:23" ht="14.4" hidden="1" x14ac:dyDescent="0.3">
      <c r="A80" s="22">
        <v>1</v>
      </c>
      <c r="B80" s="23" t="s">
        <v>78</v>
      </c>
      <c r="C80" s="24">
        <v>46</v>
      </c>
      <c r="D80" s="38">
        <v>46</v>
      </c>
      <c r="E80" s="38">
        <v>46</v>
      </c>
      <c r="F80" s="102">
        <f t="shared" ref="F80:F104" si="11">(E80-D80)/D80%</f>
        <v>0</v>
      </c>
      <c r="G80" s="102">
        <f t="shared" ref="G80:G104" si="12">E80/C80%</f>
        <v>100</v>
      </c>
      <c r="H80" s="38">
        <v>349</v>
      </c>
      <c r="I80" s="38">
        <v>349</v>
      </c>
      <c r="J80" s="29">
        <v>185266</v>
      </c>
      <c r="K80" s="38">
        <v>112217</v>
      </c>
      <c r="L80" s="38">
        <v>113738</v>
      </c>
      <c r="M80" s="102">
        <f t="shared" ref="M80:M104" si="13">(L80-K80)/K80%</f>
        <v>1.355409608169885</v>
      </c>
      <c r="N80" s="102">
        <f t="shared" ref="N80:N104" si="14">L80/J80%</f>
        <v>61.391728649617306</v>
      </c>
      <c r="O80" s="38">
        <v>6205</v>
      </c>
      <c r="P80" s="38">
        <v>6374</v>
      </c>
      <c r="Q80" s="102">
        <f t="shared" ref="Q80:Q104" si="15">(P80-O80)/O80%</f>
        <v>2.7236099919419825</v>
      </c>
      <c r="R80" s="30" t="s">
        <v>5</v>
      </c>
      <c r="S80" s="1">
        <v>1</v>
      </c>
      <c r="W80" s="220">
        <f>I80-'[2]1.RSP Districts '!I80</f>
        <v>349</v>
      </c>
    </row>
    <row r="81" spans="1:23" hidden="1" x14ac:dyDescent="0.25">
      <c r="A81" s="22">
        <v>2</v>
      </c>
      <c r="B81" s="23" t="s">
        <v>79</v>
      </c>
      <c r="C81" s="24">
        <v>52</v>
      </c>
      <c r="D81" s="24">
        <v>30</v>
      </c>
      <c r="E81" s="24">
        <f>'[8]1.RSP Districts '!E81</f>
        <v>30</v>
      </c>
      <c r="F81" s="102">
        <f t="shared" si="11"/>
        <v>0</v>
      </c>
      <c r="G81" s="102">
        <f t="shared" si="12"/>
        <v>57.692307692307693</v>
      </c>
      <c r="H81" s="24">
        <v>131</v>
      </c>
      <c r="I81" s="24">
        <f>'[8]1.RSP Districts '!I81</f>
        <v>131</v>
      </c>
      <c r="J81" s="24">
        <v>164849</v>
      </c>
      <c r="K81" s="24">
        <v>37901</v>
      </c>
      <c r="L81" s="24">
        <f>'[8]1.RSP Districts '!L81</f>
        <v>37961</v>
      </c>
      <c r="M81" s="102">
        <f t="shared" si="13"/>
        <v>0.15830716867628822</v>
      </c>
      <c r="N81" s="102">
        <f t="shared" si="14"/>
        <v>23.027740538310816</v>
      </c>
      <c r="O81" s="24">
        <v>1603</v>
      </c>
      <c r="P81" s="24">
        <f>'[8]1.RSP Districts '!P81</f>
        <v>1606</v>
      </c>
      <c r="Q81" s="102">
        <f t="shared" si="15"/>
        <v>0.18714909544603867</v>
      </c>
      <c r="R81" s="31" t="s">
        <v>10</v>
      </c>
      <c r="S81" s="1">
        <v>1</v>
      </c>
      <c r="U81" s="220">
        <f>C81-'[9]1.RSP Districts '!C81</f>
        <v>52</v>
      </c>
    </row>
    <row r="82" spans="1:23" ht="14.4" hidden="1" x14ac:dyDescent="0.3">
      <c r="A82" s="22">
        <v>3</v>
      </c>
      <c r="B82" s="23" t="s">
        <v>80</v>
      </c>
      <c r="C82" s="33">
        <v>46</v>
      </c>
      <c r="D82" s="24">
        <v>37</v>
      </c>
      <c r="E82" s="24">
        <f>'[10]1.RSP Districts '!E82</f>
        <v>37</v>
      </c>
      <c r="F82" s="102">
        <f t="shared" si="11"/>
        <v>0</v>
      </c>
      <c r="G82" s="102">
        <f t="shared" si="12"/>
        <v>80.434782608695642</v>
      </c>
      <c r="H82" s="24">
        <v>283</v>
      </c>
      <c r="I82" s="24">
        <f>'[10]1.RSP Districts '!I82</f>
        <v>283</v>
      </c>
      <c r="J82" s="24">
        <v>158489</v>
      </c>
      <c r="K82" s="24">
        <v>123054</v>
      </c>
      <c r="L82" s="24">
        <f>'[10]1.RSP Districts '!L82</f>
        <v>123054</v>
      </c>
      <c r="M82" s="102">
        <f t="shared" si="13"/>
        <v>0</v>
      </c>
      <c r="N82" s="102">
        <f t="shared" si="14"/>
        <v>77.641981462435879</v>
      </c>
      <c r="O82" s="24">
        <v>6961</v>
      </c>
      <c r="P82" s="24">
        <f>'[10]1.RSP Districts '!P82</f>
        <v>6961</v>
      </c>
      <c r="Q82" s="102">
        <f t="shared" si="15"/>
        <v>0</v>
      </c>
      <c r="R82" s="30" t="s">
        <v>8</v>
      </c>
      <c r="S82" s="1">
        <v>1</v>
      </c>
    </row>
    <row r="83" spans="1:23" ht="14.4" hidden="1" x14ac:dyDescent="0.3">
      <c r="A83" s="22">
        <v>4</v>
      </c>
      <c r="B83" s="23" t="s">
        <v>81</v>
      </c>
      <c r="C83" s="24">
        <v>37</v>
      </c>
      <c r="D83" s="38">
        <v>20</v>
      </c>
      <c r="E83" s="38">
        <v>20</v>
      </c>
      <c r="F83" s="102">
        <f t="shared" si="11"/>
        <v>0</v>
      </c>
      <c r="G83" s="102">
        <f t="shared" si="12"/>
        <v>54.054054054054056</v>
      </c>
      <c r="H83" s="38">
        <v>121</v>
      </c>
      <c r="I83" s="38">
        <v>121</v>
      </c>
      <c r="J83" s="29">
        <v>128856</v>
      </c>
      <c r="K83" s="38">
        <v>11979</v>
      </c>
      <c r="L83" s="38">
        <v>11979</v>
      </c>
      <c r="M83" s="102">
        <f t="shared" si="13"/>
        <v>0</v>
      </c>
      <c r="N83" s="102">
        <f t="shared" si="14"/>
        <v>9.296423915067983</v>
      </c>
      <c r="O83" s="38">
        <v>725</v>
      </c>
      <c r="P83" s="38">
        <v>725</v>
      </c>
      <c r="Q83" s="102">
        <f t="shared" si="15"/>
        <v>0</v>
      </c>
      <c r="R83" s="30" t="s">
        <v>5</v>
      </c>
      <c r="S83" s="1">
        <v>1</v>
      </c>
      <c r="W83" s="220">
        <f>I83-'[2]1.RSP Districts '!I83</f>
        <v>121</v>
      </c>
    </row>
    <row r="84" spans="1:23" ht="14.4" hidden="1" x14ac:dyDescent="0.3">
      <c r="A84" s="22">
        <v>5</v>
      </c>
      <c r="B84" s="23" t="s">
        <v>82</v>
      </c>
      <c r="C84" s="24">
        <v>40</v>
      </c>
      <c r="D84" s="24">
        <v>29</v>
      </c>
      <c r="E84" s="24">
        <f>'[10]1.RSP Districts '!E84</f>
        <v>29</v>
      </c>
      <c r="F84" s="102">
        <f t="shared" si="11"/>
        <v>0</v>
      </c>
      <c r="G84" s="102">
        <f t="shared" si="12"/>
        <v>72.5</v>
      </c>
      <c r="H84" s="24">
        <v>204</v>
      </c>
      <c r="I84" s="24">
        <f>'[10]1.RSP Districts '!I84</f>
        <v>204</v>
      </c>
      <c r="J84" s="24">
        <v>90682.077922077922</v>
      </c>
      <c r="K84" s="24">
        <v>84893</v>
      </c>
      <c r="L84" s="24">
        <f>'[10]1.RSP Districts '!L84</f>
        <v>84893</v>
      </c>
      <c r="M84" s="102">
        <f t="shared" si="13"/>
        <v>0</v>
      </c>
      <c r="N84" s="102">
        <f t="shared" si="14"/>
        <v>93.616072707274739</v>
      </c>
      <c r="O84" s="24">
        <v>5074</v>
      </c>
      <c r="P84" s="24">
        <f>'[10]1.RSP Districts '!P84</f>
        <v>5074</v>
      </c>
      <c r="Q84" s="102">
        <f t="shared" si="15"/>
        <v>0</v>
      </c>
      <c r="R84" s="30" t="s">
        <v>8</v>
      </c>
      <c r="S84" s="1">
        <v>1</v>
      </c>
    </row>
    <row r="85" spans="1:23" hidden="1" x14ac:dyDescent="0.25">
      <c r="A85" s="22">
        <v>6</v>
      </c>
      <c r="B85" s="23" t="s">
        <v>83</v>
      </c>
      <c r="C85" s="24">
        <v>28</v>
      </c>
      <c r="D85" s="24">
        <v>12</v>
      </c>
      <c r="E85" s="24">
        <f>'[8]1.RSP Districts '!E85</f>
        <v>12</v>
      </c>
      <c r="F85" s="102">
        <f t="shared" si="11"/>
        <v>0</v>
      </c>
      <c r="G85" s="102">
        <f t="shared" si="12"/>
        <v>42.857142857142854</v>
      </c>
      <c r="H85" s="24">
        <v>78</v>
      </c>
      <c r="I85" s="24">
        <f>'[8]1.RSP Districts '!I85</f>
        <v>78</v>
      </c>
      <c r="J85" s="24">
        <v>88816</v>
      </c>
      <c r="K85" s="24">
        <v>27290</v>
      </c>
      <c r="L85" s="24">
        <f>'[8]1.RSP Districts '!L85</f>
        <v>27290</v>
      </c>
      <c r="M85" s="102">
        <f t="shared" si="13"/>
        <v>0</v>
      </c>
      <c r="N85" s="102">
        <f t="shared" si="14"/>
        <v>30.726445685462082</v>
      </c>
      <c r="O85" s="24">
        <v>595</v>
      </c>
      <c r="P85" s="24">
        <f>'[8]1.RSP Districts '!P85</f>
        <v>595</v>
      </c>
      <c r="Q85" s="102">
        <f t="shared" si="15"/>
        <v>0</v>
      </c>
      <c r="R85" s="31" t="s">
        <v>10</v>
      </c>
      <c r="S85" s="1">
        <v>1</v>
      </c>
      <c r="U85" s="220">
        <f>C85-'[9]1.RSP Districts '!C85</f>
        <v>28</v>
      </c>
    </row>
    <row r="86" spans="1:23" hidden="1" x14ac:dyDescent="0.25">
      <c r="A86" s="22">
        <v>7</v>
      </c>
      <c r="B86" s="23" t="s">
        <v>198</v>
      </c>
      <c r="C86" s="24">
        <v>0</v>
      </c>
      <c r="D86" s="24">
        <v>0</v>
      </c>
      <c r="E86" s="24">
        <v>0</v>
      </c>
      <c r="F86" s="102">
        <v>0</v>
      </c>
      <c r="G86" s="102">
        <v>0</v>
      </c>
      <c r="H86" s="102">
        <v>0</v>
      </c>
      <c r="I86" s="102">
        <v>0</v>
      </c>
      <c r="J86" s="24">
        <v>0</v>
      </c>
      <c r="K86" s="24">
        <v>0</v>
      </c>
      <c r="L86" s="24">
        <v>0</v>
      </c>
      <c r="M86" s="102">
        <v>0</v>
      </c>
      <c r="N86" s="102">
        <v>0</v>
      </c>
      <c r="O86" s="24">
        <v>0</v>
      </c>
      <c r="P86" s="25">
        <v>0</v>
      </c>
      <c r="Q86" s="102">
        <v>0</v>
      </c>
      <c r="R86" s="79">
        <v>0</v>
      </c>
      <c r="S86" s="1">
        <v>1</v>
      </c>
    </row>
    <row r="87" spans="1:23" ht="14.4" hidden="1" x14ac:dyDescent="0.3">
      <c r="A87" s="22">
        <v>8</v>
      </c>
      <c r="B87" s="23" t="s">
        <v>84</v>
      </c>
      <c r="C87" s="24">
        <v>37</v>
      </c>
      <c r="D87" s="24">
        <v>37</v>
      </c>
      <c r="E87" s="24">
        <f>'[10]1.RSP Districts '!E87</f>
        <v>37</v>
      </c>
      <c r="F87" s="102">
        <f t="shared" si="11"/>
        <v>0</v>
      </c>
      <c r="G87" s="102">
        <f t="shared" si="12"/>
        <v>100</v>
      </c>
      <c r="H87" s="24">
        <v>170</v>
      </c>
      <c r="I87" s="24">
        <f>'[10]1.RSP Districts '!I87</f>
        <v>170</v>
      </c>
      <c r="J87" s="24">
        <v>110969</v>
      </c>
      <c r="K87" s="24">
        <v>80708</v>
      </c>
      <c r="L87" s="24">
        <f>'[10]1.RSP Districts '!L87</f>
        <v>80708</v>
      </c>
      <c r="M87" s="102">
        <f t="shared" si="13"/>
        <v>0</v>
      </c>
      <c r="N87" s="102">
        <f t="shared" si="14"/>
        <v>72.73022195387901</v>
      </c>
      <c r="O87" s="24">
        <v>4787</v>
      </c>
      <c r="P87" s="24">
        <f>'[10]1.RSP Districts '!P87</f>
        <v>4787</v>
      </c>
      <c r="Q87" s="102">
        <f t="shared" si="15"/>
        <v>0</v>
      </c>
      <c r="R87" s="30" t="s">
        <v>8</v>
      </c>
      <c r="S87" s="1">
        <v>1</v>
      </c>
    </row>
    <row r="88" spans="1:23" ht="14.4" hidden="1" x14ac:dyDescent="0.3">
      <c r="A88" s="22">
        <v>9</v>
      </c>
      <c r="B88" s="32" t="s">
        <v>85</v>
      </c>
      <c r="C88" s="24">
        <v>76</v>
      </c>
      <c r="D88" s="24">
        <v>49</v>
      </c>
      <c r="E88" s="24">
        <f>'[10]1.RSP Districts '!E88</f>
        <v>49</v>
      </c>
      <c r="F88" s="102">
        <f t="shared" si="11"/>
        <v>0</v>
      </c>
      <c r="G88" s="102">
        <f t="shared" si="12"/>
        <v>64.473684210526315</v>
      </c>
      <c r="H88" s="24">
        <v>244</v>
      </c>
      <c r="I88" s="24">
        <f>'[10]1.RSP Districts '!I88</f>
        <v>244</v>
      </c>
      <c r="J88" s="24">
        <v>208270</v>
      </c>
      <c r="K88" s="24">
        <v>70400</v>
      </c>
      <c r="L88" s="24">
        <f>'[10]1.RSP Districts '!L88</f>
        <v>70400</v>
      </c>
      <c r="M88" s="102">
        <f t="shared" si="13"/>
        <v>0</v>
      </c>
      <c r="N88" s="102">
        <f t="shared" si="14"/>
        <v>33.802275891871133</v>
      </c>
      <c r="O88" s="24">
        <v>4078</v>
      </c>
      <c r="P88" s="24">
        <f>'[10]1.RSP Districts '!P88</f>
        <v>4078</v>
      </c>
      <c r="Q88" s="102">
        <f t="shared" si="15"/>
        <v>0</v>
      </c>
      <c r="R88" s="30" t="s">
        <v>8</v>
      </c>
      <c r="S88" s="1">
        <v>1</v>
      </c>
    </row>
    <row r="89" spans="1:23" ht="14.4" hidden="1" x14ac:dyDescent="0.3">
      <c r="A89" s="22">
        <v>10</v>
      </c>
      <c r="B89" s="23" t="s">
        <v>86</v>
      </c>
      <c r="C89" s="24">
        <v>44</v>
      </c>
      <c r="D89" s="24">
        <v>38</v>
      </c>
      <c r="E89" s="24">
        <f>'[10]1.RSP Districts '!E89</f>
        <v>38</v>
      </c>
      <c r="F89" s="102">
        <f t="shared" si="11"/>
        <v>0</v>
      </c>
      <c r="G89" s="102">
        <f t="shared" si="12"/>
        <v>86.36363636363636</v>
      </c>
      <c r="H89" s="24">
        <v>178</v>
      </c>
      <c r="I89" s="24">
        <f>'[10]1.RSP Districts '!I89</f>
        <v>178</v>
      </c>
      <c r="J89" s="24">
        <v>121639.04761904762</v>
      </c>
      <c r="K89" s="24">
        <v>37589</v>
      </c>
      <c r="L89" s="24">
        <f>'[10]1.RSP Districts '!L89</f>
        <v>37589</v>
      </c>
      <c r="M89" s="102">
        <f t="shared" si="13"/>
        <v>0</v>
      </c>
      <c r="N89" s="102">
        <f t="shared" si="14"/>
        <v>30.902083447514503</v>
      </c>
      <c r="O89" s="24">
        <v>3605</v>
      </c>
      <c r="P89" s="24">
        <f>'[10]1.RSP Districts '!P89</f>
        <v>3605</v>
      </c>
      <c r="Q89" s="102">
        <f t="shared" si="15"/>
        <v>0</v>
      </c>
      <c r="R89" s="30" t="s">
        <v>8</v>
      </c>
      <c r="S89" s="1">
        <v>1</v>
      </c>
    </row>
    <row r="90" spans="1:23" ht="14.4" hidden="1" x14ac:dyDescent="0.3">
      <c r="A90" s="22">
        <v>11</v>
      </c>
      <c r="B90" s="23" t="s">
        <v>87</v>
      </c>
      <c r="C90" s="24">
        <v>19</v>
      </c>
      <c r="D90" s="38">
        <v>15</v>
      </c>
      <c r="E90" s="38">
        <v>15</v>
      </c>
      <c r="F90" s="102">
        <f t="shared" si="11"/>
        <v>0</v>
      </c>
      <c r="G90" s="102">
        <f t="shared" si="12"/>
        <v>78.94736842105263</v>
      </c>
      <c r="H90" s="38">
        <v>21</v>
      </c>
      <c r="I90" s="38">
        <v>21</v>
      </c>
      <c r="J90" s="29">
        <v>47026</v>
      </c>
      <c r="K90" s="38">
        <v>23129</v>
      </c>
      <c r="L90" s="38">
        <v>23129</v>
      </c>
      <c r="M90" s="102">
        <f t="shared" si="13"/>
        <v>0</v>
      </c>
      <c r="N90" s="102">
        <f t="shared" si="14"/>
        <v>49.183430442733808</v>
      </c>
      <c r="O90" s="38">
        <v>1770</v>
      </c>
      <c r="P90" s="38">
        <v>1770</v>
      </c>
      <c r="Q90" s="102">
        <f t="shared" si="15"/>
        <v>0</v>
      </c>
      <c r="R90" s="30" t="s">
        <v>5</v>
      </c>
      <c r="S90" s="1">
        <v>1</v>
      </c>
      <c r="W90" s="220">
        <f>I90-'[2]1.RSP Districts '!I90</f>
        <v>21</v>
      </c>
    </row>
    <row r="91" spans="1:23" ht="14.4" hidden="1" x14ac:dyDescent="0.3">
      <c r="A91" s="22">
        <v>12</v>
      </c>
      <c r="B91" s="23" t="s">
        <v>88</v>
      </c>
      <c r="C91" s="24">
        <v>41</v>
      </c>
      <c r="D91" s="38">
        <v>41</v>
      </c>
      <c r="E91" s="38">
        <v>41</v>
      </c>
      <c r="F91" s="102">
        <f t="shared" si="11"/>
        <v>0</v>
      </c>
      <c r="G91" s="102">
        <f t="shared" si="12"/>
        <v>100</v>
      </c>
      <c r="H91" s="38">
        <v>329</v>
      </c>
      <c r="I91" s="38">
        <v>329</v>
      </c>
      <c r="J91" s="29">
        <v>111973</v>
      </c>
      <c r="K91" s="38">
        <v>74918</v>
      </c>
      <c r="L91" s="38">
        <v>77240</v>
      </c>
      <c r="M91" s="102">
        <f t="shared" si="13"/>
        <v>3.099388664940335</v>
      </c>
      <c r="N91" s="102">
        <f t="shared" si="14"/>
        <v>68.980915042019063</v>
      </c>
      <c r="O91" s="38">
        <v>4540</v>
      </c>
      <c r="P91" s="38">
        <v>4684</v>
      </c>
      <c r="Q91" s="102">
        <f t="shared" si="15"/>
        <v>3.1718061674008813</v>
      </c>
      <c r="R91" s="30" t="s">
        <v>5</v>
      </c>
      <c r="S91" s="1">
        <v>1</v>
      </c>
      <c r="W91" s="220">
        <f>I91-'[2]1.RSP Districts '!I91</f>
        <v>329</v>
      </c>
    </row>
    <row r="92" spans="1:23" ht="14.4" hidden="1" x14ac:dyDescent="0.3">
      <c r="A92" s="22">
        <v>13</v>
      </c>
      <c r="B92" s="23" t="s">
        <v>278</v>
      </c>
      <c r="C92" s="24">
        <v>51</v>
      </c>
      <c r="D92" s="24">
        <v>39</v>
      </c>
      <c r="E92" s="24">
        <f>'[10]1.RSP Districts '!E92</f>
        <v>39</v>
      </c>
      <c r="F92" s="102">
        <f t="shared" si="11"/>
        <v>0</v>
      </c>
      <c r="G92" s="102">
        <f t="shared" si="12"/>
        <v>76.470588235294116</v>
      </c>
      <c r="H92" s="24">
        <v>142</v>
      </c>
      <c r="I92" s="24">
        <f>'[10]1.RSP Districts '!I92</f>
        <v>142</v>
      </c>
      <c r="J92" s="24">
        <v>164715</v>
      </c>
      <c r="K92" s="24">
        <v>24710</v>
      </c>
      <c r="L92" s="24">
        <f>'[10]1.RSP Districts '!L92</f>
        <v>24710</v>
      </c>
      <c r="M92" s="102">
        <f t="shared" si="13"/>
        <v>0</v>
      </c>
      <c r="N92" s="102">
        <f t="shared" si="14"/>
        <v>15.001669550435601</v>
      </c>
      <c r="O92" s="24">
        <v>1729</v>
      </c>
      <c r="P92" s="24">
        <f>'[10]1.RSP Districts '!P92</f>
        <v>1729</v>
      </c>
      <c r="Q92" s="102">
        <f t="shared" si="15"/>
        <v>0</v>
      </c>
      <c r="R92" s="30" t="s">
        <v>8</v>
      </c>
      <c r="S92" s="1">
        <v>1</v>
      </c>
    </row>
    <row r="93" spans="1:23" ht="14.4" hidden="1" x14ac:dyDescent="0.3">
      <c r="A93" s="22">
        <v>14</v>
      </c>
      <c r="B93" s="23" t="s">
        <v>89</v>
      </c>
      <c r="C93" s="24">
        <v>51</v>
      </c>
      <c r="D93" s="38">
        <v>27</v>
      </c>
      <c r="E93" s="38">
        <v>27</v>
      </c>
      <c r="F93" s="102">
        <f t="shared" si="11"/>
        <v>0</v>
      </c>
      <c r="G93" s="102">
        <f t="shared" si="12"/>
        <v>52.941176470588232</v>
      </c>
      <c r="H93" s="38">
        <v>54</v>
      </c>
      <c r="I93" s="38">
        <v>54</v>
      </c>
      <c r="J93" s="29">
        <v>141671</v>
      </c>
      <c r="K93" s="38">
        <v>3092</v>
      </c>
      <c r="L93" s="38">
        <v>3092</v>
      </c>
      <c r="M93" s="102">
        <f t="shared" si="13"/>
        <v>0</v>
      </c>
      <c r="N93" s="102">
        <f t="shared" si="14"/>
        <v>2.1825214758136808</v>
      </c>
      <c r="O93" s="38">
        <v>564</v>
      </c>
      <c r="P93" s="38">
        <v>564</v>
      </c>
      <c r="Q93" s="102">
        <f t="shared" si="15"/>
        <v>0</v>
      </c>
      <c r="R93" s="30" t="s">
        <v>5</v>
      </c>
      <c r="S93" s="1">
        <v>1</v>
      </c>
      <c r="W93" s="220">
        <f>I93-'[2]1.RSP Districts '!I93</f>
        <v>54</v>
      </c>
    </row>
    <row r="94" spans="1:23" ht="14.4" hidden="1" x14ac:dyDescent="0.3">
      <c r="A94" s="22">
        <v>15</v>
      </c>
      <c r="B94" s="23" t="s">
        <v>90</v>
      </c>
      <c r="C94" s="24">
        <v>40</v>
      </c>
      <c r="D94" s="24">
        <v>34</v>
      </c>
      <c r="E94" s="24">
        <f>'[10]1.RSP Districts '!E94</f>
        <v>34</v>
      </c>
      <c r="F94" s="102">
        <f t="shared" si="11"/>
        <v>0</v>
      </c>
      <c r="G94" s="102">
        <f t="shared" si="12"/>
        <v>85</v>
      </c>
      <c r="H94" s="24">
        <v>236</v>
      </c>
      <c r="I94" s="24">
        <f>'[10]1.RSP Districts '!I94</f>
        <v>236</v>
      </c>
      <c r="J94" s="24">
        <v>128408</v>
      </c>
      <c r="K94" s="24">
        <v>29475</v>
      </c>
      <c r="L94" s="24">
        <f>'[10]1.RSP Districts '!L94</f>
        <v>29475</v>
      </c>
      <c r="M94" s="102">
        <f t="shared" si="13"/>
        <v>0</v>
      </c>
      <c r="N94" s="102">
        <f t="shared" si="14"/>
        <v>22.954177309824935</v>
      </c>
      <c r="O94" s="24">
        <v>2221</v>
      </c>
      <c r="P94" s="24">
        <f>'[10]1.RSP Districts '!P94</f>
        <v>2221</v>
      </c>
      <c r="Q94" s="102">
        <f t="shared" si="15"/>
        <v>0</v>
      </c>
      <c r="R94" s="30" t="s">
        <v>8</v>
      </c>
      <c r="S94" s="1">
        <v>1</v>
      </c>
    </row>
    <row r="95" spans="1:23" ht="14.4" hidden="1" x14ac:dyDescent="0.3">
      <c r="A95" s="22">
        <v>16</v>
      </c>
      <c r="B95" s="23" t="s">
        <v>91</v>
      </c>
      <c r="C95" s="24">
        <v>55</v>
      </c>
      <c r="D95" s="24">
        <v>13</v>
      </c>
      <c r="E95" s="24">
        <v>13</v>
      </c>
      <c r="F95" s="102">
        <f t="shared" si="11"/>
        <v>0</v>
      </c>
      <c r="G95" s="102">
        <f t="shared" si="12"/>
        <v>23.636363636363633</v>
      </c>
      <c r="H95" s="24">
        <v>260</v>
      </c>
      <c r="I95" s="24">
        <v>260</v>
      </c>
      <c r="J95" s="24">
        <v>209191</v>
      </c>
      <c r="K95" s="24">
        <v>16500</v>
      </c>
      <c r="L95" s="24">
        <f>K95</f>
        <v>16500</v>
      </c>
      <c r="M95" s="102">
        <f t="shared" si="13"/>
        <v>0</v>
      </c>
      <c r="N95" s="102">
        <f t="shared" si="14"/>
        <v>7.8875286221682579</v>
      </c>
      <c r="O95" s="24">
        <v>860</v>
      </c>
      <c r="P95" s="24">
        <f>O95</f>
        <v>860</v>
      </c>
      <c r="Q95" s="102">
        <f t="shared" si="15"/>
        <v>0</v>
      </c>
      <c r="R95" s="30" t="s">
        <v>7</v>
      </c>
      <c r="S95" s="1">
        <v>1</v>
      </c>
    </row>
    <row r="96" spans="1:23" ht="14.4" hidden="1" x14ac:dyDescent="0.3">
      <c r="A96" s="22">
        <v>17</v>
      </c>
      <c r="B96" s="23" t="s">
        <v>92</v>
      </c>
      <c r="C96" s="24">
        <v>51</v>
      </c>
      <c r="D96" s="24">
        <v>50</v>
      </c>
      <c r="E96" s="24">
        <f>'[10]1.RSP Districts '!E96</f>
        <v>50</v>
      </c>
      <c r="F96" s="102">
        <f t="shared" si="11"/>
        <v>0</v>
      </c>
      <c r="G96" s="102">
        <f t="shared" si="12"/>
        <v>98.039215686274503</v>
      </c>
      <c r="H96" s="24">
        <v>222</v>
      </c>
      <c r="I96" s="24">
        <f>'[10]1.RSP Districts '!I96</f>
        <v>222</v>
      </c>
      <c r="J96" s="24">
        <v>122340</v>
      </c>
      <c r="K96" s="24">
        <v>104557</v>
      </c>
      <c r="L96" s="24">
        <f>'[10]1.RSP Districts '!L96</f>
        <v>104557</v>
      </c>
      <c r="M96" s="102">
        <f t="shared" si="13"/>
        <v>0</v>
      </c>
      <c r="N96" s="102">
        <f t="shared" si="14"/>
        <v>85.464279875756077</v>
      </c>
      <c r="O96" s="24">
        <v>5997</v>
      </c>
      <c r="P96" s="24">
        <f>'[10]1.RSP Districts '!P96</f>
        <v>5997</v>
      </c>
      <c r="Q96" s="102">
        <f t="shared" si="15"/>
        <v>0</v>
      </c>
      <c r="R96" s="30" t="s">
        <v>8</v>
      </c>
      <c r="S96" s="1">
        <v>1</v>
      </c>
    </row>
    <row r="97" spans="1:23" ht="14.4" hidden="1" x14ac:dyDescent="0.3">
      <c r="A97" s="22">
        <v>18</v>
      </c>
      <c r="B97" s="23" t="s">
        <v>279</v>
      </c>
      <c r="C97" s="24">
        <v>46</v>
      </c>
      <c r="D97" s="24">
        <v>25</v>
      </c>
      <c r="E97" s="24">
        <f>'[10]1.RSP Districts '!E97</f>
        <v>26</v>
      </c>
      <c r="F97" s="102">
        <f t="shared" si="11"/>
        <v>4</v>
      </c>
      <c r="G97" s="102">
        <f t="shared" si="12"/>
        <v>56.521739130434781</v>
      </c>
      <c r="H97" s="24">
        <v>196</v>
      </c>
      <c r="I97" s="24">
        <f>'[10]1.RSP Districts '!I97</f>
        <v>196</v>
      </c>
      <c r="J97" s="24">
        <v>78458</v>
      </c>
      <c r="K97" s="24">
        <v>36343</v>
      </c>
      <c r="L97" s="24">
        <f>'[10]1.RSP Districts '!L97</f>
        <v>36598</v>
      </c>
      <c r="M97" s="102">
        <f t="shared" si="13"/>
        <v>0.70164818534518336</v>
      </c>
      <c r="N97" s="102">
        <f t="shared" si="14"/>
        <v>46.646613474725328</v>
      </c>
      <c r="O97" s="24">
        <v>2613</v>
      </c>
      <c r="P97" s="24">
        <f>'[10]1.RSP Districts '!P97</f>
        <v>2629</v>
      </c>
      <c r="Q97" s="102">
        <f t="shared" si="15"/>
        <v>0.61232300038270193</v>
      </c>
      <c r="R97" s="30" t="s">
        <v>8</v>
      </c>
      <c r="S97" s="1">
        <v>1</v>
      </c>
    </row>
    <row r="98" spans="1:23" s="6" customFormat="1" ht="14.4" hidden="1" x14ac:dyDescent="0.3">
      <c r="A98" s="22">
        <v>19</v>
      </c>
      <c r="B98" s="23" t="s">
        <v>93</v>
      </c>
      <c r="C98" s="24">
        <v>19</v>
      </c>
      <c r="D98" s="38">
        <v>12</v>
      </c>
      <c r="E98" s="38">
        <v>12</v>
      </c>
      <c r="F98" s="102">
        <f t="shared" si="11"/>
        <v>0</v>
      </c>
      <c r="G98" s="102">
        <f t="shared" si="12"/>
        <v>63.157894736842103</v>
      </c>
      <c r="H98" s="38">
        <v>19</v>
      </c>
      <c r="I98" s="38">
        <v>19</v>
      </c>
      <c r="J98" s="29">
        <v>47082</v>
      </c>
      <c r="K98" s="38">
        <v>21838</v>
      </c>
      <c r="L98" s="38">
        <v>21838</v>
      </c>
      <c r="M98" s="102">
        <f t="shared" si="13"/>
        <v>0</v>
      </c>
      <c r="N98" s="102">
        <f t="shared" si="14"/>
        <v>46.382906418588846</v>
      </c>
      <c r="O98" s="38">
        <v>1673</v>
      </c>
      <c r="P98" s="38">
        <v>1673</v>
      </c>
      <c r="Q98" s="102">
        <f t="shared" si="15"/>
        <v>0</v>
      </c>
      <c r="R98" s="30" t="s">
        <v>5</v>
      </c>
      <c r="S98" s="1">
        <v>1</v>
      </c>
      <c r="W98" s="220">
        <f>I98-'[2]1.RSP Districts '!I98</f>
        <v>19</v>
      </c>
    </row>
    <row r="99" spans="1:23" s="6" customFormat="1" ht="14.4" hidden="1" x14ac:dyDescent="0.3">
      <c r="A99" s="22">
        <v>20</v>
      </c>
      <c r="B99" s="23" t="s">
        <v>94</v>
      </c>
      <c r="C99" s="24">
        <v>16</v>
      </c>
      <c r="D99" s="38">
        <v>13</v>
      </c>
      <c r="E99" s="38">
        <v>13</v>
      </c>
      <c r="F99" s="102">
        <f t="shared" si="11"/>
        <v>0</v>
      </c>
      <c r="G99" s="102">
        <f t="shared" si="12"/>
        <v>81.25</v>
      </c>
      <c r="H99" s="38">
        <v>66</v>
      </c>
      <c r="I99" s="38">
        <v>66</v>
      </c>
      <c r="J99" s="29">
        <v>39648</v>
      </c>
      <c r="K99" s="38">
        <v>17576</v>
      </c>
      <c r="L99" s="38">
        <v>17576</v>
      </c>
      <c r="M99" s="102">
        <f t="shared" si="13"/>
        <v>0</v>
      </c>
      <c r="N99" s="102">
        <f t="shared" si="14"/>
        <v>44.330104923325258</v>
      </c>
      <c r="O99" s="38">
        <v>1067</v>
      </c>
      <c r="P99" s="38">
        <v>1067</v>
      </c>
      <c r="Q99" s="102">
        <f t="shared" si="15"/>
        <v>0</v>
      </c>
      <c r="R99" s="30" t="s">
        <v>5</v>
      </c>
      <c r="S99" s="1">
        <v>1</v>
      </c>
      <c r="W99" s="220">
        <f>I99-'[2]1.RSP Districts '!I99</f>
        <v>66</v>
      </c>
    </row>
    <row r="100" spans="1:23" s="6" customFormat="1" hidden="1" x14ac:dyDescent="0.25">
      <c r="A100" s="22">
        <v>21</v>
      </c>
      <c r="B100" s="23" t="s">
        <v>95</v>
      </c>
      <c r="C100" s="24">
        <v>44</v>
      </c>
      <c r="D100" s="24">
        <v>44</v>
      </c>
      <c r="E100" s="24">
        <f>'[8]1.RSP Districts '!E100</f>
        <v>44</v>
      </c>
      <c r="F100" s="102">
        <f t="shared" si="11"/>
        <v>0</v>
      </c>
      <c r="G100" s="102">
        <f t="shared" si="12"/>
        <v>100</v>
      </c>
      <c r="H100" s="24">
        <v>166</v>
      </c>
      <c r="I100" s="24">
        <f>'[8]1.RSP Districts '!I100</f>
        <v>166</v>
      </c>
      <c r="J100" s="24">
        <v>159486</v>
      </c>
      <c r="K100" s="24">
        <v>159665</v>
      </c>
      <c r="L100" s="24">
        <f>'[8]1.RSP Districts '!L100</f>
        <v>159665</v>
      </c>
      <c r="M100" s="102">
        <f t="shared" si="13"/>
        <v>0</v>
      </c>
      <c r="N100" s="102">
        <f t="shared" si="14"/>
        <v>100.11223555672599</v>
      </c>
      <c r="O100" s="24">
        <v>11477</v>
      </c>
      <c r="P100" s="24">
        <f>'[8]1.RSP Districts '!P100</f>
        <v>11477</v>
      </c>
      <c r="Q100" s="102">
        <f t="shared" si="15"/>
        <v>0</v>
      </c>
      <c r="R100" s="31" t="s">
        <v>10</v>
      </c>
      <c r="S100" s="1">
        <v>1</v>
      </c>
      <c r="T100" s="6">
        <f>8</f>
        <v>8</v>
      </c>
      <c r="U100" s="220">
        <f>C100-'[9]1.RSP Districts '!C100</f>
        <v>44</v>
      </c>
    </row>
    <row r="101" spans="1:23" s="6" customFormat="1" ht="14.4" hidden="1" x14ac:dyDescent="0.3">
      <c r="A101" s="22">
        <v>22</v>
      </c>
      <c r="B101" s="23" t="s">
        <v>96</v>
      </c>
      <c r="C101" s="24">
        <v>55</v>
      </c>
      <c r="D101" s="38">
        <v>52</v>
      </c>
      <c r="E101" s="38">
        <v>52</v>
      </c>
      <c r="F101" s="102">
        <f t="shared" si="11"/>
        <v>0</v>
      </c>
      <c r="G101" s="102">
        <f t="shared" si="12"/>
        <v>94.545454545454533</v>
      </c>
      <c r="H101" s="38">
        <v>298</v>
      </c>
      <c r="I101" s="38">
        <v>298</v>
      </c>
      <c r="J101" s="29">
        <v>202554</v>
      </c>
      <c r="K101" s="38">
        <v>40335</v>
      </c>
      <c r="L101" s="38">
        <v>40929</v>
      </c>
      <c r="M101" s="102">
        <f t="shared" si="13"/>
        <v>1.4726664187430272</v>
      </c>
      <c r="N101" s="102">
        <f t="shared" si="14"/>
        <v>20.206463461595426</v>
      </c>
      <c r="O101" s="38">
        <v>2292</v>
      </c>
      <c r="P101" s="38">
        <v>2331</v>
      </c>
      <c r="Q101" s="102">
        <f t="shared" si="15"/>
        <v>1.7015706806282722</v>
      </c>
      <c r="R101" s="30" t="s">
        <v>5</v>
      </c>
      <c r="S101" s="1">
        <v>1</v>
      </c>
      <c r="W101" s="220">
        <f>I101-'[2]1.RSP Districts '!I101</f>
        <v>298</v>
      </c>
    </row>
    <row r="102" spans="1:23" s="6" customFormat="1" ht="14.4" hidden="1" x14ac:dyDescent="0.3">
      <c r="A102" s="36">
        <v>23</v>
      </c>
      <c r="B102" s="37" t="s">
        <v>316</v>
      </c>
      <c r="C102" s="38">
        <v>27</v>
      </c>
      <c r="D102" s="38">
        <v>1</v>
      </c>
      <c r="E102" s="38">
        <v>1</v>
      </c>
      <c r="F102" s="102">
        <f ca="1">-F102</f>
        <v>0</v>
      </c>
      <c r="G102" s="102">
        <f t="shared" si="12"/>
        <v>3.7037037037037033</v>
      </c>
      <c r="H102" s="38">
        <v>5</v>
      </c>
      <c r="I102" s="38">
        <v>5</v>
      </c>
      <c r="J102" s="29">
        <v>202554</v>
      </c>
      <c r="K102" s="38">
        <v>134</v>
      </c>
      <c r="L102" s="38">
        <v>683</v>
      </c>
      <c r="M102" s="134"/>
      <c r="N102" s="134">
        <f t="shared" si="14"/>
        <v>0.33719403220869498</v>
      </c>
      <c r="O102" s="38">
        <v>22</v>
      </c>
      <c r="P102" s="38">
        <v>60</v>
      </c>
      <c r="Q102" s="134"/>
      <c r="R102" s="218" t="s">
        <v>5</v>
      </c>
      <c r="S102" s="1">
        <v>1</v>
      </c>
      <c r="T102" s="6" t="s">
        <v>313</v>
      </c>
      <c r="W102" s="220">
        <f>I102-'[2]1.RSP Districts '!I102</f>
        <v>5</v>
      </c>
    </row>
    <row r="103" spans="1:23" s="6" customFormat="1" hidden="1" x14ac:dyDescent="0.25">
      <c r="A103" s="36">
        <v>23</v>
      </c>
      <c r="B103" s="37" t="s">
        <v>97</v>
      </c>
      <c r="C103" s="38">
        <v>27</v>
      </c>
      <c r="D103" s="24">
        <v>27</v>
      </c>
      <c r="E103" s="24">
        <f>'[8]1.RSP Districts '!E103</f>
        <v>27</v>
      </c>
      <c r="F103" s="134">
        <f t="shared" si="11"/>
        <v>0</v>
      </c>
      <c r="G103" s="134">
        <f t="shared" si="12"/>
        <v>100</v>
      </c>
      <c r="H103" s="24">
        <v>186</v>
      </c>
      <c r="I103" s="24">
        <f>'[8]1.RSP Districts '!I103</f>
        <v>186</v>
      </c>
      <c r="J103" s="38">
        <v>106515</v>
      </c>
      <c r="K103" s="24">
        <v>45128</v>
      </c>
      <c r="L103" s="24">
        <f>'[8]1.RSP Districts '!L103</f>
        <v>45128</v>
      </c>
      <c r="M103" s="134">
        <f t="shared" si="13"/>
        <v>0</v>
      </c>
      <c r="N103" s="134">
        <f t="shared" si="14"/>
        <v>42.367741632633894</v>
      </c>
      <c r="O103" s="24">
        <v>2768</v>
      </c>
      <c r="P103" s="24">
        <f>'[8]1.RSP Districts '!P103</f>
        <v>2768</v>
      </c>
      <c r="Q103" s="134">
        <f t="shared" si="15"/>
        <v>0</v>
      </c>
      <c r="R103" s="41" t="s">
        <v>10</v>
      </c>
      <c r="S103" s="1">
        <v>1</v>
      </c>
      <c r="U103" s="220">
        <f>C103-'[9]1.RSP Districts '!C103</f>
        <v>27</v>
      </c>
    </row>
    <row r="104" spans="1:23" s="4" customFormat="1" ht="14.4" hidden="1" thickBot="1" x14ac:dyDescent="0.3">
      <c r="A104" s="148">
        <f>COUNTIF(R80:R103,"*")-1</f>
        <v>22</v>
      </c>
      <c r="B104" s="147" t="s">
        <v>76</v>
      </c>
      <c r="C104" s="56">
        <f>SUM(C80:C103)-C102</f>
        <v>921</v>
      </c>
      <c r="D104" s="56">
        <f>SUM(D80:D103)-D102</f>
        <v>690</v>
      </c>
      <c r="E104" s="56">
        <f>SUM(E80:E103)-E102</f>
        <v>691</v>
      </c>
      <c r="F104" s="149">
        <f t="shared" si="11"/>
        <v>0.14492753623188406</v>
      </c>
      <c r="G104" s="149">
        <f t="shared" si="12"/>
        <v>75.0271444082519</v>
      </c>
      <c r="H104" s="56">
        <f>SUM(H80:H103)</f>
        <v>3958</v>
      </c>
      <c r="I104" s="56">
        <f>SUM(I80:I103)</f>
        <v>3958</v>
      </c>
      <c r="J104" s="56">
        <f>SUM(J80:J103)-J102</f>
        <v>2816903.1255411254</v>
      </c>
      <c r="K104" s="56">
        <f>SUM(K80:K103)</f>
        <v>1183431</v>
      </c>
      <c r="L104" s="56">
        <f>SUM(L80:L103)</f>
        <v>1188732</v>
      </c>
      <c r="M104" s="149">
        <f t="shared" si="13"/>
        <v>0.44793486058756277</v>
      </c>
      <c r="N104" s="149">
        <f t="shared" si="14"/>
        <v>42.199960276292614</v>
      </c>
      <c r="O104" s="56">
        <f>SUM(O80:O103)</f>
        <v>73226</v>
      </c>
      <c r="P104" s="56">
        <f>SUM(P80:P103)</f>
        <v>73635</v>
      </c>
      <c r="Q104" s="149">
        <f t="shared" si="15"/>
        <v>0.55854477917679513</v>
      </c>
      <c r="R104" s="151"/>
      <c r="S104" s="1">
        <v>1</v>
      </c>
    </row>
    <row r="105" spans="1:23" ht="5.25" hidden="1" customHeight="1" thickBot="1" x14ac:dyDescent="0.35">
      <c r="A105" s="34"/>
      <c r="B105" s="35"/>
      <c r="C105" s="27"/>
      <c r="D105" s="27"/>
      <c r="E105" s="27"/>
      <c r="F105" s="103"/>
      <c r="G105" s="103"/>
      <c r="H105" s="103"/>
      <c r="I105" s="103"/>
      <c r="J105" s="27"/>
      <c r="K105" s="27"/>
      <c r="L105" s="27"/>
      <c r="M105" s="27"/>
      <c r="N105" s="27"/>
      <c r="O105" s="27"/>
      <c r="P105" s="27"/>
      <c r="Q105" s="27"/>
      <c r="R105" s="14"/>
      <c r="S105" s="1">
        <v>1</v>
      </c>
    </row>
    <row r="106" spans="1:23" s="5" customFormat="1" hidden="1" x14ac:dyDescent="0.25">
      <c r="A106" s="17" t="s">
        <v>98</v>
      </c>
      <c r="B106" s="18"/>
      <c r="C106" s="19"/>
      <c r="D106" s="28"/>
      <c r="E106" s="28"/>
      <c r="F106" s="104"/>
      <c r="G106" s="104"/>
      <c r="H106" s="104"/>
      <c r="I106" s="104"/>
      <c r="J106" s="19"/>
      <c r="K106" s="28"/>
      <c r="L106" s="28"/>
      <c r="M106" s="28"/>
      <c r="N106" s="28"/>
      <c r="O106" s="28"/>
      <c r="P106" s="28"/>
      <c r="Q106" s="28"/>
      <c r="R106" s="21"/>
      <c r="S106" s="1">
        <v>1</v>
      </c>
    </row>
    <row r="107" spans="1:23" s="6" customFormat="1" hidden="1" x14ac:dyDescent="0.25">
      <c r="A107" s="22">
        <v>1</v>
      </c>
      <c r="B107" s="23" t="s">
        <v>99</v>
      </c>
      <c r="C107" s="29">
        <v>65</v>
      </c>
      <c r="D107" s="24">
        <v>12</v>
      </c>
      <c r="E107" s="24">
        <f>'[7]1.RSP Districts '!E107</f>
        <v>12</v>
      </c>
      <c r="F107" s="102">
        <f t="shared" ref="F107:F158" si="16">(E107-D107)/D107%</f>
        <v>0</v>
      </c>
      <c r="G107" s="102">
        <f t="shared" ref="G107:G158" si="17">E107/C107%</f>
        <v>18.46153846153846</v>
      </c>
      <c r="H107" s="24">
        <v>69</v>
      </c>
      <c r="I107" s="24">
        <f>'[7]1.RSP Districts '!I107</f>
        <v>69</v>
      </c>
      <c r="J107" s="24">
        <v>164849</v>
      </c>
      <c r="K107" s="24">
        <v>19012</v>
      </c>
      <c r="L107" s="24">
        <f>'[7]1.RSP Districts '!L107</f>
        <v>19074</v>
      </c>
      <c r="M107" s="102">
        <f t="shared" ref="M107:M158" si="18">(L107-K107)/K107%</f>
        <v>0.32610982537344835</v>
      </c>
      <c r="N107" s="102">
        <f t="shared" ref="N107:N158" si="19">L107/J107%</f>
        <v>11.570588841909869</v>
      </c>
      <c r="O107" s="24">
        <v>1627</v>
      </c>
      <c r="P107" s="24">
        <f>'[7]1.RSP Districts '!P107</f>
        <v>1635</v>
      </c>
      <c r="Q107" s="102">
        <f t="shared" ref="Q107:Q158" si="20">(P107-O107)/O107%</f>
        <v>0.49170251997541486</v>
      </c>
      <c r="R107" s="31" t="s">
        <v>4</v>
      </c>
      <c r="S107" s="1">
        <v>1</v>
      </c>
      <c r="T107" s="155"/>
    </row>
    <row r="108" spans="1:23" hidden="1" x14ac:dyDescent="0.25">
      <c r="A108" s="22">
        <v>1</v>
      </c>
      <c r="B108" s="23" t="s">
        <v>100</v>
      </c>
      <c r="C108" s="24">
        <v>65</v>
      </c>
      <c r="D108" s="38">
        <v>64</v>
      </c>
      <c r="E108" s="38">
        <v>64</v>
      </c>
      <c r="F108" s="102">
        <f t="shared" si="16"/>
        <v>0</v>
      </c>
      <c r="G108" s="102">
        <f t="shared" si="17"/>
        <v>98.461538461538453</v>
      </c>
      <c r="H108" s="38">
        <v>454</v>
      </c>
      <c r="I108" s="38">
        <v>454</v>
      </c>
      <c r="J108" s="24">
        <v>164849</v>
      </c>
      <c r="K108" s="38">
        <v>66651</v>
      </c>
      <c r="L108" s="38">
        <v>66651</v>
      </c>
      <c r="M108" s="102">
        <f t="shared" si="18"/>
        <v>0</v>
      </c>
      <c r="N108" s="102">
        <f t="shared" si="19"/>
        <v>40.431546445535005</v>
      </c>
      <c r="O108" s="38">
        <v>4318</v>
      </c>
      <c r="P108" s="38">
        <v>4318</v>
      </c>
      <c r="Q108" s="102">
        <f t="shared" si="20"/>
        <v>0</v>
      </c>
      <c r="R108" s="26" t="s">
        <v>5</v>
      </c>
      <c r="S108" s="1">
        <v>1</v>
      </c>
      <c r="T108" s="155"/>
      <c r="W108" s="220">
        <f>I108-'[2]1.RSP Districts '!I108</f>
        <v>454</v>
      </c>
    </row>
    <row r="109" spans="1:23" s="6" customFormat="1" hidden="1" x14ac:dyDescent="0.25">
      <c r="A109" s="22">
        <v>2</v>
      </c>
      <c r="B109" s="23" t="s">
        <v>101</v>
      </c>
      <c r="C109" s="24">
        <v>101</v>
      </c>
      <c r="D109" s="38">
        <v>101</v>
      </c>
      <c r="E109" s="38">
        <v>101</v>
      </c>
      <c r="F109" s="102">
        <f t="shared" si="16"/>
        <v>0</v>
      </c>
      <c r="G109" s="102">
        <f t="shared" si="17"/>
        <v>100</v>
      </c>
      <c r="H109" s="38">
        <v>869</v>
      </c>
      <c r="I109" s="38">
        <v>869</v>
      </c>
      <c r="J109" s="29">
        <v>158489</v>
      </c>
      <c r="K109" s="38">
        <v>220279</v>
      </c>
      <c r="L109" s="38">
        <v>225585</v>
      </c>
      <c r="M109" s="102">
        <f t="shared" si="18"/>
        <v>2.4087634318296343</v>
      </c>
      <c r="N109" s="102">
        <f t="shared" si="19"/>
        <v>142.33479926051649</v>
      </c>
      <c r="O109" s="38">
        <v>15810</v>
      </c>
      <c r="P109" s="38">
        <v>16095</v>
      </c>
      <c r="Q109" s="102">
        <f t="shared" si="20"/>
        <v>1.8026565464895636</v>
      </c>
      <c r="R109" s="31" t="s">
        <v>5</v>
      </c>
      <c r="S109" s="1">
        <v>1</v>
      </c>
      <c r="T109" s="155"/>
      <c r="W109" s="220">
        <f>I109-'[2]1.RSP Districts '!I109</f>
        <v>869</v>
      </c>
    </row>
    <row r="110" spans="1:23" s="6" customFormat="1" hidden="1" x14ac:dyDescent="0.25">
      <c r="A110" s="22">
        <v>3</v>
      </c>
      <c r="B110" s="23" t="s">
        <v>102</v>
      </c>
      <c r="C110" s="24">
        <v>97</v>
      </c>
      <c r="D110" s="38">
        <v>97</v>
      </c>
      <c r="E110" s="38">
        <v>97</v>
      </c>
      <c r="F110" s="102">
        <f t="shared" si="16"/>
        <v>0</v>
      </c>
      <c r="G110" s="102">
        <f t="shared" si="17"/>
        <v>100</v>
      </c>
      <c r="H110" s="38">
        <v>609</v>
      </c>
      <c r="I110" s="38">
        <v>609</v>
      </c>
      <c r="J110" s="29">
        <v>128856</v>
      </c>
      <c r="K110" s="38">
        <v>276169</v>
      </c>
      <c r="L110" s="38">
        <v>285974</v>
      </c>
      <c r="M110" s="102">
        <f t="shared" si="18"/>
        <v>3.5503622781702506</v>
      </c>
      <c r="N110" s="102">
        <f t="shared" si="19"/>
        <v>221.93301049233253</v>
      </c>
      <c r="O110" s="38">
        <v>18467</v>
      </c>
      <c r="P110" s="38">
        <v>19009</v>
      </c>
      <c r="Q110" s="102">
        <f t="shared" si="20"/>
        <v>2.9349650728326204</v>
      </c>
      <c r="R110" s="31" t="s">
        <v>5</v>
      </c>
      <c r="S110" s="1">
        <v>1</v>
      </c>
      <c r="T110" s="155"/>
      <c r="W110" s="220">
        <f>I110-'[2]1.RSP Districts '!I110</f>
        <v>609</v>
      </c>
    </row>
    <row r="111" spans="1:23" s="6" customFormat="1" hidden="1" x14ac:dyDescent="0.25">
      <c r="A111" s="22">
        <v>4</v>
      </c>
      <c r="B111" s="23" t="s">
        <v>103</v>
      </c>
      <c r="C111" s="24">
        <v>42</v>
      </c>
      <c r="D111" s="38">
        <v>40</v>
      </c>
      <c r="E111" s="38">
        <v>40</v>
      </c>
      <c r="F111" s="102">
        <f t="shared" si="16"/>
        <v>0</v>
      </c>
      <c r="G111" s="102">
        <f t="shared" si="17"/>
        <v>95.238095238095241</v>
      </c>
      <c r="H111" s="38">
        <v>530</v>
      </c>
      <c r="I111" s="38">
        <v>530</v>
      </c>
      <c r="J111" s="29">
        <v>90682.077922077922</v>
      </c>
      <c r="K111" s="38">
        <v>156617</v>
      </c>
      <c r="L111" s="38">
        <v>159387</v>
      </c>
      <c r="M111" s="102">
        <f t="shared" si="18"/>
        <v>1.7686458047338411</v>
      </c>
      <c r="N111" s="102">
        <f t="shared" si="19"/>
        <v>175.76460933874878</v>
      </c>
      <c r="O111" s="38">
        <v>9838</v>
      </c>
      <c r="P111" s="38">
        <v>10036</v>
      </c>
      <c r="Q111" s="102">
        <f t="shared" si="20"/>
        <v>2.0126041878430576</v>
      </c>
      <c r="R111" s="31" t="s">
        <v>5</v>
      </c>
      <c r="S111" s="1">
        <v>1</v>
      </c>
      <c r="T111" s="155"/>
      <c r="W111" s="220">
        <f>I111-'[2]1.RSP Districts '!I111</f>
        <v>530</v>
      </c>
    </row>
    <row r="112" spans="1:23" s="6" customFormat="1" hidden="1" x14ac:dyDescent="0.25">
      <c r="A112" s="22">
        <v>5</v>
      </c>
      <c r="B112" s="23" t="s">
        <v>104</v>
      </c>
      <c r="C112" s="24">
        <v>65</v>
      </c>
      <c r="D112" s="38">
        <v>60</v>
      </c>
      <c r="E112" s="38">
        <v>60</v>
      </c>
      <c r="F112" s="102">
        <f t="shared" si="16"/>
        <v>0</v>
      </c>
      <c r="G112" s="102">
        <f t="shared" si="17"/>
        <v>92.307692307692307</v>
      </c>
      <c r="H112" s="38">
        <v>418</v>
      </c>
      <c r="I112" s="38">
        <v>418</v>
      </c>
      <c r="J112" s="29">
        <v>88816</v>
      </c>
      <c r="K112" s="38">
        <v>70886</v>
      </c>
      <c r="L112" s="38">
        <v>70915</v>
      </c>
      <c r="M112" s="102">
        <f t="shared" si="18"/>
        <v>4.0910758118669413E-2</v>
      </c>
      <c r="N112" s="102">
        <f t="shared" si="19"/>
        <v>79.844847775175651</v>
      </c>
      <c r="O112" s="38">
        <v>3861</v>
      </c>
      <c r="P112" s="38">
        <v>3875</v>
      </c>
      <c r="Q112" s="102">
        <f t="shared" si="20"/>
        <v>0.3626003626003626</v>
      </c>
      <c r="R112" s="31" t="s">
        <v>5</v>
      </c>
      <c r="S112" s="1">
        <v>1</v>
      </c>
      <c r="T112" s="155"/>
      <c r="W112" s="220">
        <f>I112-'[2]1.RSP Districts '!I112</f>
        <v>418</v>
      </c>
    </row>
    <row r="113" spans="1:23" s="6" customFormat="1" hidden="1" x14ac:dyDescent="0.25">
      <c r="A113" s="22">
        <v>6</v>
      </c>
      <c r="B113" s="23" t="s">
        <v>224</v>
      </c>
      <c r="C113" s="24">
        <v>42</v>
      </c>
      <c r="D113" s="24">
        <v>0</v>
      </c>
      <c r="E113" s="24">
        <f>'[11]1.RSP Districts '!F113</f>
        <v>0</v>
      </c>
      <c r="F113" s="102">
        <v>0</v>
      </c>
      <c r="G113" s="102">
        <f t="shared" si="17"/>
        <v>0</v>
      </c>
      <c r="H113" s="24">
        <v>0</v>
      </c>
      <c r="I113" s="24">
        <f>'[11]1.RSP Districts '!J113</f>
        <v>0</v>
      </c>
      <c r="J113" s="164">
        <v>81625.384615384493</v>
      </c>
      <c r="K113" s="24">
        <v>1069</v>
      </c>
      <c r="L113" s="24">
        <f>'[11]1.RSP Districts '!N113</f>
        <v>1069</v>
      </c>
      <c r="M113" s="102">
        <f t="shared" si="18"/>
        <v>0</v>
      </c>
      <c r="N113" s="102">
        <v>0</v>
      </c>
      <c r="O113" s="24">
        <v>60</v>
      </c>
      <c r="P113" s="24">
        <f>'[11]1.RSP Districts '!S113</f>
        <v>60</v>
      </c>
      <c r="Q113" s="102">
        <f t="shared" si="20"/>
        <v>0</v>
      </c>
      <c r="R113" s="79" t="s">
        <v>6</v>
      </c>
      <c r="S113" s="1">
        <v>1</v>
      </c>
      <c r="T113" s="155"/>
    </row>
    <row r="114" spans="1:23" s="6" customFormat="1" hidden="1" x14ac:dyDescent="0.25">
      <c r="A114" s="22">
        <v>6</v>
      </c>
      <c r="B114" s="23" t="s">
        <v>314</v>
      </c>
      <c r="C114" s="24">
        <v>42</v>
      </c>
      <c r="D114" s="38">
        <v>1</v>
      </c>
      <c r="E114" s="38">
        <v>1</v>
      </c>
      <c r="F114" s="102">
        <f ca="1">-F114</f>
        <v>0</v>
      </c>
      <c r="G114" s="102">
        <f t="shared" si="17"/>
        <v>2.3809523809523809</v>
      </c>
      <c r="H114" s="38">
        <v>10</v>
      </c>
      <c r="I114" s="38">
        <v>10</v>
      </c>
      <c r="J114" s="164">
        <f>J113</f>
        <v>81625.384615384493</v>
      </c>
      <c r="K114" s="38">
        <v>605</v>
      </c>
      <c r="L114" s="24">
        <v>605</v>
      </c>
      <c r="M114" s="102"/>
      <c r="N114" s="102">
        <f t="shared" ref="N114" si="21">L114/J114%</f>
        <v>0.74119099450585801</v>
      </c>
      <c r="O114" s="38">
        <v>56</v>
      </c>
      <c r="P114" s="24">
        <v>56</v>
      </c>
      <c r="Q114" s="102"/>
      <c r="R114" s="79" t="s">
        <v>5</v>
      </c>
      <c r="S114" s="1"/>
      <c r="T114" s="155" t="s">
        <v>315</v>
      </c>
      <c r="W114" s="220">
        <f>I114-'[2]1.RSP Districts '!I114</f>
        <v>10</v>
      </c>
    </row>
    <row r="115" spans="1:23" s="6" customFormat="1" hidden="1" x14ac:dyDescent="0.25">
      <c r="A115" s="22">
        <v>7</v>
      </c>
      <c r="B115" s="23" t="s">
        <v>105</v>
      </c>
      <c r="C115" s="24">
        <v>55</v>
      </c>
      <c r="D115" s="38">
        <v>50</v>
      </c>
      <c r="E115" s="38">
        <v>50</v>
      </c>
      <c r="F115" s="102">
        <f t="shared" si="16"/>
        <v>0</v>
      </c>
      <c r="G115" s="102">
        <f t="shared" si="17"/>
        <v>90.909090909090907</v>
      </c>
      <c r="H115" s="38">
        <v>492</v>
      </c>
      <c r="I115" s="38">
        <v>492</v>
      </c>
      <c r="J115" s="24">
        <v>208270</v>
      </c>
      <c r="K115" s="38">
        <v>134294</v>
      </c>
      <c r="L115" s="38">
        <v>146070</v>
      </c>
      <c r="M115" s="102">
        <f t="shared" si="18"/>
        <v>8.7688206472366588</v>
      </c>
      <c r="N115" s="102">
        <f t="shared" si="19"/>
        <v>70.134921015988866</v>
      </c>
      <c r="O115" s="38">
        <v>9695</v>
      </c>
      <c r="P115" s="38">
        <v>10459</v>
      </c>
      <c r="Q115" s="102">
        <f t="shared" si="20"/>
        <v>7.8803506962351726</v>
      </c>
      <c r="R115" s="31" t="s">
        <v>5</v>
      </c>
      <c r="S115" s="1">
        <v>1</v>
      </c>
      <c r="T115" s="155"/>
      <c r="W115" s="220">
        <f>I115-'[2]1.RSP Districts '!I115</f>
        <v>492</v>
      </c>
    </row>
    <row r="116" spans="1:23" s="6" customFormat="1" hidden="1" x14ac:dyDescent="0.25">
      <c r="A116" s="22">
        <v>7</v>
      </c>
      <c r="B116" s="23" t="s">
        <v>225</v>
      </c>
      <c r="C116" s="24">
        <v>55</v>
      </c>
      <c r="D116" s="24">
        <v>0</v>
      </c>
      <c r="E116" s="24">
        <f>'[11]1.RSP Districts '!F116</f>
        <v>0</v>
      </c>
      <c r="F116" s="102">
        <v>0</v>
      </c>
      <c r="G116" s="102">
        <f t="shared" si="17"/>
        <v>0</v>
      </c>
      <c r="H116" s="24">
        <v>0</v>
      </c>
      <c r="I116" s="24">
        <f>'[11]1.RSP Districts '!J116</f>
        <v>0</v>
      </c>
      <c r="J116" s="24">
        <v>208270</v>
      </c>
      <c r="K116" s="24">
        <v>20260</v>
      </c>
      <c r="L116" s="24">
        <f>'[11]1.RSP Districts '!N116</f>
        <v>20260</v>
      </c>
      <c r="M116" s="102">
        <f t="shared" si="18"/>
        <v>0</v>
      </c>
      <c r="N116" s="102">
        <f t="shared" si="19"/>
        <v>9.7277572382004145</v>
      </c>
      <c r="O116" s="24">
        <v>1302</v>
      </c>
      <c r="P116" s="24">
        <f>'[11]1.RSP Districts '!S116</f>
        <v>1302</v>
      </c>
      <c r="Q116" s="102">
        <f t="shared" si="20"/>
        <v>0</v>
      </c>
      <c r="R116" s="31" t="s">
        <v>6</v>
      </c>
      <c r="S116" s="1">
        <v>1</v>
      </c>
      <c r="T116" s="155"/>
    </row>
    <row r="117" spans="1:23" s="6" customFormat="1" hidden="1" x14ac:dyDescent="0.25">
      <c r="A117" s="22">
        <v>8</v>
      </c>
      <c r="B117" s="23" t="s">
        <v>106</v>
      </c>
      <c r="C117" s="24">
        <v>71</v>
      </c>
      <c r="D117" s="24">
        <v>71</v>
      </c>
      <c r="E117" s="24">
        <f>'[11]1.RSP Districts '!F117</f>
        <v>71</v>
      </c>
      <c r="F117" s="102">
        <f t="shared" si="16"/>
        <v>0</v>
      </c>
      <c r="G117" s="102">
        <f t="shared" si="17"/>
        <v>100</v>
      </c>
      <c r="H117" s="24">
        <v>336</v>
      </c>
      <c r="I117" s="24">
        <f>'[11]1.RSP Districts '!J117</f>
        <v>336</v>
      </c>
      <c r="J117" s="24">
        <v>121639.04761904762</v>
      </c>
      <c r="K117" s="24">
        <v>63840</v>
      </c>
      <c r="L117" s="24">
        <f>'[11]1.RSP Districts '!N117</f>
        <v>65190</v>
      </c>
      <c r="M117" s="102">
        <f t="shared" si="18"/>
        <v>2.1146616541353382</v>
      </c>
      <c r="N117" s="102">
        <f t="shared" si="19"/>
        <v>53.592987840683989</v>
      </c>
      <c r="O117" s="24">
        <v>4161</v>
      </c>
      <c r="P117" s="24">
        <f>'[11]1.RSP Districts '!S117</f>
        <v>4249</v>
      </c>
      <c r="Q117" s="102">
        <f t="shared" si="20"/>
        <v>2.114876231675078</v>
      </c>
      <c r="R117" s="31" t="s">
        <v>6</v>
      </c>
      <c r="S117" s="1">
        <v>1</v>
      </c>
      <c r="T117" s="155"/>
    </row>
    <row r="118" spans="1:23" s="6" customFormat="1" hidden="1" x14ac:dyDescent="0.25">
      <c r="A118" s="22">
        <v>9</v>
      </c>
      <c r="B118" s="23" t="s">
        <v>107</v>
      </c>
      <c r="C118" s="24">
        <v>97</v>
      </c>
      <c r="D118" s="24">
        <v>62</v>
      </c>
      <c r="E118" s="24">
        <f>'[11]1.RSP Districts '!F118</f>
        <v>62</v>
      </c>
      <c r="F118" s="102">
        <f t="shared" si="16"/>
        <v>0</v>
      </c>
      <c r="G118" s="102">
        <f t="shared" si="17"/>
        <v>63.917525773195877</v>
      </c>
      <c r="H118" s="24">
        <v>372</v>
      </c>
      <c r="I118" s="24">
        <f>'[11]1.RSP Districts '!J118</f>
        <v>373</v>
      </c>
      <c r="J118" s="24">
        <v>47026</v>
      </c>
      <c r="K118" s="24">
        <v>57641</v>
      </c>
      <c r="L118" s="24">
        <f>'[11]1.RSP Districts '!N118</f>
        <v>59349</v>
      </c>
      <c r="M118" s="102">
        <f t="shared" si="18"/>
        <v>2.9631685779219654</v>
      </c>
      <c r="N118" s="102">
        <f t="shared" si="19"/>
        <v>126.20465274528985</v>
      </c>
      <c r="O118" s="24">
        <v>3177</v>
      </c>
      <c r="P118" s="24">
        <f>'[11]1.RSP Districts '!S118</f>
        <v>3251</v>
      </c>
      <c r="Q118" s="102">
        <f t="shared" si="20"/>
        <v>2.329241422725842</v>
      </c>
      <c r="R118" s="31" t="s">
        <v>6</v>
      </c>
      <c r="S118" s="1">
        <v>1</v>
      </c>
      <c r="T118" s="155"/>
    </row>
    <row r="119" spans="1:23" s="6" customFormat="1" hidden="1" x14ac:dyDescent="0.25">
      <c r="A119" s="22">
        <v>10</v>
      </c>
      <c r="B119" s="23" t="s">
        <v>108</v>
      </c>
      <c r="C119" s="24">
        <v>87</v>
      </c>
      <c r="D119" s="24">
        <v>35</v>
      </c>
      <c r="E119" s="24">
        <f>'[11]1.RSP Districts '!F119</f>
        <v>35</v>
      </c>
      <c r="F119" s="102">
        <f t="shared" si="16"/>
        <v>0</v>
      </c>
      <c r="G119" s="102">
        <f t="shared" si="17"/>
        <v>40.229885057471265</v>
      </c>
      <c r="H119" s="24">
        <v>370</v>
      </c>
      <c r="I119" s="24">
        <f>'[11]1.RSP Districts '!J119</f>
        <v>370</v>
      </c>
      <c r="J119" s="24">
        <v>111973</v>
      </c>
      <c r="K119" s="24">
        <v>50886</v>
      </c>
      <c r="L119" s="24">
        <f>'[11]1.RSP Districts '!N119</f>
        <v>52642</v>
      </c>
      <c r="M119" s="102">
        <f t="shared" si="18"/>
        <v>3.4508509216680423</v>
      </c>
      <c r="N119" s="102">
        <f t="shared" si="19"/>
        <v>47.013119234101076</v>
      </c>
      <c r="O119" s="24">
        <v>3204</v>
      </c>
      <c r="P119" s="24">
        <f>'[11]1.RSP Districts '!S119</f>
        <v>3295</v>
      </c>
      <c r="Q119" s="102">
        <f t="shared" si="20"/>
        <v>2.8401997503121099</v>
      </c>
      <c r="R119" s="31" t="s">
        <v>6</v>
      </c>
      <c r="S119" s="1">
        <v>1</v>
      </c>
      <c r="T119" s="155"/>
    </row>
    <row r="120" spans="1:23" s="6" customFormat="1" hidden="1" x14ac:dyDescent="0.25">
      <c r="A120" s="22">
        <v>11</v>
      </c>
      <c r="B120" s="23" t="s">
        <v>109</v>
      </c>
      <c r="C120" s="24">
        <v>40</v>
      </c>
      <c r="D120" s="24">
        <v>16</v>
      </c>
      <c r="E120" s="24">
        <f>'[11]1.RSP Districts '!F120</f>
        <v>16</v>
      </c>
      <c r="F120" s="102">
        <f t="shared" si="16"/>
        <v>0</v>
      </c>
      <c r="G120" s="102">
        <f t="shared" si="17"/>
        <v>40</v>
      </c>
      <c r="H120" s="24">
        <v>108</v>
      </c>
      <c r="I120" s="24">
        <f>'[11]1.RSP Districts '!J120</f>
        <v>110</v>
      </c>
      <c r="J120" s="24">
        <v>164715</v>
      </c>
      <c r="K120" s="24">
        <v>30683</v>
      </c>
      <c r="L120" s="24">
        <f>'[11]1.RSP Districts '!N120</f>
        <v>31402</v>
      </c>
      <c r="M120" s="102">
        <f t="shared" si="18"/>
        <v>2.3433171463025131</v>
      </c>
      <c r="N120" s="102">
        <f t="shared" si="19"/>
        <v>19.064444646814191</v>
      </c>
      <c r="O120" s="24">
        <v>1883</v>
      </c>
      <c r="P120" s="24">
        <f>'[11]1.RSP Districts '!S120</f>
        <v>1927</v>
      </c>
      <c r="Q120" s="102">
        <f t="shared" si="20"/>
        <v>2.3366967604885822</v>
      </c>
      <c r="R120" s="31" t="s">
        <v>6</v>
      </c>
      <c r="S120" s="1">
        <v>1</v>
      </c>
      <c r="T120" s="155"/>
    </row>
    <row r="121" spans="1:23" s="6" customFormat="1" hidden="1" x14ac:dyDescent="0.25">
      <c r="A121" s="22">
        <v>11</v>
      </c>
      <c r="B121" s="23" t="s">
        <v>268</v>
      </c>
      <c r="C121" s="24">
        <v>40</v>
      </c>
      <c r="D121" s="38">
        <v>48</v>
      </c>
      <c r="E121" s="38">
        <v>48</v>
      </c>
      <c r="F121" s="102">
        <f t="shared" ref="F121" si="22">(E121-D121)/D121%</f>
        <v>0</v>
      </c>
      <c r="G121" s="102">
        <f t="shared" ref="G121" si="23">E121/C121%</f>
        <v>120</v>
      </c>
      <c r="H121" s="38">
        <v>184</v>
      </c>
      <c r="I121" s="38">
        <v>184</v>
      </c>
      <c r="J121" s="24">
        <v>164715</v>
      </c>
      <c r="K121" s="38">
        <v>1347</v>
      </c>
      <c r="L121" s="38">
        <v>2705</v>
      </c>
      <c r="M121" s="102">
        <f t="shared" ref="M121" si="24">(L121-K121)/K121%</f>
        <v>100.81662954714179</v>
      </c>
      <c r="N121" s="102">
        <f t="shared" ref="N121" si="25">L121/J121%</f>
        <v>1.6422305193819626</v>
      </c>
      <c r="O121" s="38">
        <v>118</v>
      </c>
      <c r="P121" s="38">
        <v>241</v>
      </c>
      <c r="Q121" s="102">
        <f t="shared" ref="Q121" si="26">(P121-O121)/O121%</f>
        <v>104.23728813559323</v>
      </c>
      <c r="R121" s="31" t="s">
        <v>5</v>
      </c>
      <c r="S121" s="1">
        <v>1</v>
      </c>
      <c r="T121" s="155" t="s">
        <v>269</v>
      </c>
      <c r="W121" s="220">
        <f>I121-'[2]1.RSP Districts '!I121</f>
        <v>184</v>
      </c>
    </row>
    <row r="122" spans="1:23" s="6" customFormat="1" hidden="1" x14ac:dyDescent="0.25">
      <c r="A122" s="22">
        <v>12</v>
      </c>
      <c r="B122" s="23" t="s">
        <v>110</v>
      </c>
      <c r="C122" s="24">
        <v>79</v>
      </c>
      <c r="D122" s="24">
        <v>21</v>
      </c>
      <c r="E122" s="24">
        <f>'[11]1.RSP Districts '!F122</f>
        <v>21</v>
      </c>
      <c r="F122" s="102">
        <f t="shared" si="16"/>
        <v>0</v>
      </c>
      <c r="G122" s="102">
        <f t="shared" si="17"/>
        <v>26.582278481012658</v>
      </c>
      <c r="H122" s="24">
        <v>181</v>
      </c>
      <c r="I122" s="24">
        <f>'[11]1.RSP Districts '!J122</f>
        <v>181</v>
      </c>
      <c r="J122" s="24">
        <v>141671</v>
      </c>
      <c r="K122" s="24">
        <v>29375</v>
      </c>
      <c r="L122" s="24">
        <f>'[11]1.RSP Districts '!N122</f>
        <v>30088</v>
      </c>
      <c r="M122" s="102">
        <f t="shared" si="18"/>
        <v>2.4272340425531915</v>
      </c>
      <c r="N122" s="102">
        <f t="shared" si="19"/>
        <v>21.23793860423093</v>
      </c>
      <c r="O122" s="24">
        <v>2009</v>
      </c>
      <c r="P122" s="24">
        <f>'[11]1.RSP Districts '!S122</f>
        <v>2056</v>
      </c>
      <c r="Q122" s="102">
        <f t="shared" si="20"/>
        <v>2.3394723743155801</v>
      </c>
      <c r="R122" s="31" t="s">
        <v>6</v>
      </c>
      <c r="S122" s="1">
        <v>1</v>
      </c>
      <c r="T122" s="155"/>
    </row>
    <row r="123" spans="1:23" s="6" customFormat="1" hidden="1" x14ac:dyDescent="0.25">
      <c r="A123" s="22">
        <v>13</v>
      </c>
      <c r="B123" s="23" t="s">
        <v>111</v>
      </c>
      <c r="C123" s="24">
        <v>50</v>
      </c>
      <c r="D123" s="38">
        <v>35</v>
      </c>
      <c r="E123" s="38">
        <v>35</v>
      </c>
      <c r="F123" s="102">
        <f t="shared" si="16"/>
        <v>0</v>
      </c>
      <c r="G123" s="102">
        <f t="shared" si="17"/>
        <v>70</v>
      </c>
      <c r="H123" s="38">
        <v>637</v>
      </c>
      <c r="I123" s="38">
        <v>637</v>
      </c>
      <c r="J123" s="29">
        <v>128408</v>
      </c>
      <c r="K123" s="38">
        <v>42507</v>
      </c>
      <c r="L123" s="38">
        <v>42843</v>
      </c>
      <c r="M123" s="102">
        <f t="shared" si="18"/>
        <v>0.7904580422048133</v>
      </c>
      <c r="N123" s="102">
        <f t="shared" si="19"/>
        <v>33.364743629680397</v>
      </c>
      <c r="O123" s="38">
        <v>2426</v>
      </c>
      <c r="P123" s="38">
        <v>2446</v>
      </c>
      <c r="Q123" s="102">
        <f t="shared" si="20"/>
        <v>0.82440230832646322</v>
      </c>
      <c r="R123" s="31" t="s">
        <v>5</v>
      </c>
      <c r="S123" s="1">
        <v>1</v>
      </c>
      <c r="T123" s="155"/>
      <c r="W123" s="220">
        <f>I123-'[2]1.RSP Districts '!I123</f>
        <v>637</v>
      </c>
    </row>
    <row r="124" spans="1:23" s="6" customFormat="1" hidden="1" x14ac:dyDescent="0.25">
      <c r="A124" s="22">
        <v>14</v>
      </c>
      <c r="B124" s="23" t="s">
        <v>112</v>
      </c>
      <c r="C124" s="24">
        <v>89</v>
      </c>
      <c r="D124" s="24">
        <v>7</v>
      </c>
      <c r="E124" s="24">
        <f>'[11]1.RSP Districts '!F124</f>
        <v>7</v>
      </c>
      <c r="F124" s="102">
        <f t="shared" si="16"/>
        <v>0</v>
      </c>
      <c r="G124" s="102">
        <f t="shared" si="17"/>
        <v>7.8651685393258424</v>
      </c>
      <c r="H124" s="24">
        <v>20</v>
      </c>
      <c r="I124" s="24">
        <f>'[11]1.RSP Districts '!J124</f>
        <v>20</v>
      </c>
      <c r="J124" s="24">
        <v>122340</v>
      </c>
      <c r="K124" s="24">
        <v>11877</v>
      </c>
      <c r="L124" s="24">
        <f>'[11]1.RSP Districts '!N124</f>
        <v>12134</v>
      </c>
      <c r="M124" s="102">
        <f t="shared" si="18"/>
        <v>2.1638460890797342</v>
      </c>
      <c r="N124" s="102">
        <f t="shared" si="19"/>
        <v>9.9182605852542096</v>
      </c>
      <c r="O124" s="24">
        <v>915</v>
      </c>
      <c r="P124" s="24">
        <f>'[11]1.RSP Districts '!S124</f>
        <v>936</v>
      </c>
      <c r="Q124" s="102">
        <f t="shared" si="20"/>
        <v>2.2950819672131146</v>
      </c>
      <c r="R124" s="31" t="s">
        <v>6</v>
      </c>
      <c r="S124" s="1">
        <v>1</v>
      </c>
      <c r="T124" s="155"/>
    </row>
    <row r="125" spans="1:23" s="6" customFormat="1" hidden="1" x14ac:dyDescent="0.25">
      <c r="A125" s="22">
        <v>15</v>
      </c>
      <c r="B125" s="23" t="s">
        <v>113</v>
      </c>
      <c r="C125" s="24">
        <v>98</v>
      </c>
      <c r="D125" s="24">
        <v>21</v>
      </c>
      <c r="E125" s="24">
        <f>'[11]1.RSP Districts '!F125</f>
        <v>21</v>
      </c>
      <c r="F125" s="102">
        <f t="shared" si="16"/>
        <v>0</v>
      </c>
      <c r="G125" s="102">
        <f t="shared" si="17"/>
        <v>21.428571428571431</v>
      </c>
      <c r="H125" s="24">
        <v>129</v>
      </c>
      <c r="I125" s="24">
        <f>'[11]1.RSP Districts '!J125</f>
        <v>129</v>
      </c>
      <c r="J125" s="24">
        <v>122340</v>
      </c>
      <c r="K125" s="24">
        <v>29041</v>
      </c>
      <c r="L125" s="24">
        <f>'[11]1.RSP Districts '!N125</f>
        <v>29998</v>
      </c>
      <c r="M125" s="102">
        <f t="shared" si="18"/>
        <v>3.295341069522399</v>
      </c>
      <c r="N125" s="102">
        <f t="shared" si="19"/>
        <v>24.520189635442208</v>
      </c>
      <c r="O125" s="24">
        <v>1794</v>
      </c>
      <c r="P125" s="24">
        <f>'[11]1.RSP Districts '!S125</f>
        <v>1857</v>
      </c>
      <c r="Q125" s="102">
        <f t="shared" si="20"/>
        <v>3.511705685618729</v>
      </c>
      <c r="R125" s="31" t="s">
        <v>6</v>
      </c>
      <c r="S125" s="1">
        <v>1</v>
      </c>
      <c r="T125" s="155"/>
    </row>
    <row r="126" spans="1:23" hidden="1" x14ac:dyDescent="0.25">
      <c r="A126" s="22">
        <v>15</v>
      </c>
      <c r="B126" s="23" t="s">
        <v>114</v>
      </c>
      <c r="C126" s="24">
        <v>98</v>
      </c>
      <c r="D126" s="38">
        <v>70</v>
      </c>
      <c r="E126" s="38">
        <v>70</v>
      </c>
      <c r="F126" s="102">
        <f t="shared" si="16"/>
        <v>0</v>
      </c>
      <c r="G126" s="102">
        <f t="shared" si="17"/>
        <v>71.428571428571431</v>
      </c>
      <c r="H126" s="38">
        <v>305</v>
      </c>
      <c r="I126" s="38">
        <v>305</v>
      </c>
      <c r="J126" s="24">
        <v>78458</v>
      </c>
      <c r="K126" s="38">
        <v>17775</v>
      </c>
      <c r="L126" s="38">
        <v>17775</v>
      </c>
      <c r="M126" s="102">
        <f t="shared" si="18"/>
        <v>0</v>
      </c>
      <c r="N126" s="102">
        <f t="shared" si="19"/>
        <v>22.655433480333425</v>
      </c>
      <c r="O126" s="38">
        <v>1662</v>
      </c>
      <c r="P126" s="38">
        <v>1662</v>
      </c>
      <c r="Q126" s="102">
        <f t="shared" si="20"/>
        <v>0</v>
      </c>
      <c r="R126" s="26" t="s">
        <v>5</v>
      </c>
      <c r="S126" s="1">
        <v>1</v>
      </c>
      <c r="T126" s="155"/>
      <c r="W126" s="220">
        <f>I126-'[2]1.RSP Districts '!I126</f>
        <v>305</v>
      </c>
    </row>
    <row r="127" spans="1:23" s="6" customFormat="1" hidden="1" x14ac:dyDescent="0.25">
      <c r="A127" s="22">
        <v>16</v>
      </c>
      <c r="B127" s="23" t="s">
        <v>115</v>
      </c>
      <c r="C127" s="24">
        <v>49</v>
      </c>
      <c r="D127" s="38">
        <v>45</v>
      </c>
      <c r="E127" s="38">
        <v>45</v>
      </c>
      <c r="F127" s="102">
        <f t="shared" si="16"/>
        <v>0</v>
      </c>
      <c r="G127" s="102">
        <f t="shared" si="17"/>
        <v>91.83673469387756</v>
      </c>
      <c r="H127" s="38">
        <v>329</v>
      </c>
      <c r="I127" s="38">
        <v>329</v>
      </c>
      <c r="J127" s="29">
        <v>47082</v>
      </c>
      <c r="K127" s="38">
        <v>142955</v>
      </c>
      <c r="L127" s="38">
        <v>148171</v>
      </c>
      <c r="M127" s="102">
        <f t="shared" si="18"/>
        <v>3.6487006400615578</v>
      </c>
      <c r="N127" s="102">
        <f t="shared" si="19"/>
        <v>314.70838112229728</v>
      </c>
      <c r="O127" s="38">
        <v>8200</v>
      </c>
      <c r="P127" s="38">
        <v>8497</v>
      </c>
      <c r="Q127" s="102">
        <f t="shared" si="20"/>
        <v>3.6219512195121952</v>
      </c>
      <c r="R127" s="31" t="s">
        <v>5</v>
      </c>
      <c r="S127" s="1">
        <v>1</v>
      </c>
      <c r="T127" s="155"/>
      <c r="W127" s="220">
        <f>I127-'[2]1.RSP Districts '!I127</f>
        <v>329</v>
      </c>
    </row>
    <row r="128" spans="1:23" s="6" customFormat="1" hidden="1" x14ac:dyDescent="0.25">
      <c r="A128" s="22">
        <v>17</v>
      </c>
      <c r="B128" s="23" t="s">
        <v>116</v>
      </c>
      <c r="C128" s="24">
        <v>30</v>
      </c>
      <c r="D128" s="24">
        <v>27</v>
      </c>
      <c r="E128" s="24">
        <f>'[11]1.RSP Districts '!F128</f>
        <v>27</v>
      </c>
      <c r="F128" s="102">
        <f t="shared" si="16"/>
        <v>0</v>
      </c>
      <c r="G128" s="102">
        <f t="shared" si="17"/>
        <v>90</v>
      </c>
      <c r="H128" s="24">
        <v>156</v>
      </c>
      <c r="I128" s="24">
        <f>'[11]1.RSP Districts '!J128</f>
        <v>156</v>
      </c>
      <c r="J128" s="24">
        <v>39648</v>
      </c>
      <c r="K128" s="24">
        <v>43093</v>
      </c>
      <c r="L128" s="24">
        <f>'[11]1.RSP Districts '!N128</f>
        <v>43777</v>
      </c>
      <c r="M128" s="102">
        <f t="shared" si="18"/>
        <v>1.5872647529761215</v>
      </c>
      <c r="N128" s="102">
        <f t="shared" si="19"/>
        <v>110.41414447134785</v>
      </c>
      <c r="O128" s="24">
        <v>2921</v>
      </c>
      <c r="P128" s="24">
        <f>'[11]1.RSP Districts '!S128</f>
        <v>2978</v>
      </c>
      <c r="Q128" s="102">
        <f t="shared" si="20"/>
        <v>1.951386511468675</v>
      </c>
      <c r="R128" s="31" t="s">
        <v>6</v>
      </c>
      <c r="S128" s="1">
        <v>1</v>
      </c>
      <c r="T128" s="155"/>
    </row>
    <row r="129" spans="1:23" s="6" customFormat="1" hidden="1" x14ac:dyDescent="0.25">
      <c r="A129" s="22">
        <v>18</v>
      </c>
      <c r="B129" s="23" t="s">
        <v>117</v>
      </c>
      <c r="C129" s="24">
        <v>44</v>
      </c>
      <c r="D129" s="24">
        <v>26</v>
      </c>
      <c r="E129" s="24">
        <f>'[11]1.RSP Districts '!F129</f>
        <v>26</v>
      </c>
      <c r="F129" s="102">
        <f t="shared" si="16"/>
        <v>0</v>
      </c>
      <c r="G129" s="102">
        <f t="shared" si="17"/>
        <v>59.090909090909093</v>
      </c>
      <c r="H129" s="24">
        <v>346</v>
      </c>
      <c r="I129" s="24">
        <f>'[11]1.RSP Districts '!J129</f>
        <v>377</v>
      </c>
      <c r="J129" s="24">
        <v>159486</v>
      </c>
      <c r="K129" s="24">
        <v>126429</v>
      </c>
      <c r="L129" s="24">
        <f>'[11]1.RSP Districts '!N129</f>
        <v>128239</v>
      </c>
      <c r="M129" s="102">
        <f t="shared" si="18"/>
        <v>1.4316335650839602</v>
      </c>
      <c r="N129" s="102">
        <f t="shared" si="19"/>
        <v>80.40768468705717</v>
      </c>
      <c r="O129" s="24">
        <v>8362</v>
      </c>
      <c r="P129" s="24">
        <f>'[11]1.RSP Districts '!S129</f>
        <v>8480</v>
      </c>
      <c r="Q129" s="102">
        <f t="shared" si="20"/>
        <v>1.4111456589332694</v>
      </c>
      <c r="R129" s="31" t="s">
        <v>6</v>
      </c>
      <c r="S129" s="1">
        <v>1</v>
      </c>
      <c r="T129" s="155"/>
    </row>
    <row r="130" spans="1:23" s="6" customFormat="1" hidden="1" x14ac:dyDescent="0.25">
      <c r="A130" s="22">
        <v>18</v>
      </c>
      <c r="B130" s="23" t="s">
        <v>324</v>
      </c>
      <c r="C130" s="24">
        <v>44</v>
      </c>
      <c r="D130" s="24">
        <v>0</v>
      </c>
      <c r="E130" s="24">
        <v>7</v>
      </c>
      <c r="F130" s="102" t="e">
        <f t="shared" ref="F130" si="27">(E130-D130)/D130%</f>
        <v>#DIV/0!</v>
      </c>
      <c r="G130" s="102">
        <f t="shared" ref="G130" si="28">E130/C130%</f>
        <v>15.909090909090908</v>
      </c>
      <c r="H130" s="24"/>
      <c r="I130" s="24"/>
      <c r="J130" s="24">
        <v>159486</v>
      </c>
      <c r="K130" s="24">
        <v>0</v>
      </c>
      <c r="L130" s="24">
        <v>4773</v>
      </c>
      <c r="M130" s="102" t="e">
        <f t="shared" ref="M130" si="29">(L130-K130)/K130%</f>
        <v>#DIV/0!</v>
      </c>
      <c r="N130" s="102">
        <f t="shared" ref="N130" si="30">L130/J130%</f>
        <v>2.9927391745983973</v>
      </c>
      <c r="O130" s="24">
        <v>0</v>
      </c>
      <c r="P130" s="24">
        <v>254</v>
      </c>
      <c r="Q130" s="102" t="e">
        <f t="shared" ref="Q130" si="31">(P130-O130)/O130%</f>
        <v>#DIV/0!</v>
      </c>
      <c r="R130" s="31" t="s">
        <v>5</v>
      </c>
      <c r="S130" s="1">
        <v>1</v>
      </c>
      <c r="T130" s="155" t="s">
        <v>325</v>
      </c>
    </row>
    <row r="131" spans="1:23" s="6" customFormat="1" hidden="1" x14ac:dyDescent="0.25">
      <c r="A131" s="22">
        <v>19</v>
      </c>
      <c r="B131" s="23" t="s">
        <v>118</v>
      </c>
      <c r="C131" s="24">
        <v>70</v>
      </c>
      <c r="D131" s="38">
        <v>70</v>
      </c>
      <c r="E131" s="38">
        <v>70</v>
      </c>
      <c r="F131" s="102">
        <f t="shared" si="16"/>
        <v>0</v>
      </c>
      <c r="G131" s="102">
        <f t="shared" si="17"/>
        <v>100</v>
      </c>
      <c r="H131" s="38">
        <v>386</v>
      </c>
      <c r="I131" s="38">
        <v>386</v>
      </c>
      <c r="J131" s="29">
        <v>202554</v>
      </c>
      <c r="K131" s="38">
        <v>46705</v>
      </c>
      <c r="L131" s="38">
        <v>46705</v>
      </c>
      <c r="M131" s="102">
        <f t="shared" si="18"/>
        <v>0</v>
      </c>
      <c r="N131" s="102">
        <f t="shared" si="19"/>
        <v>23.058048717872765</v>
      </c>
      <c r="O131" s="38">
        <v>3886</v>
      </c>
      <c r="P131" s="38">
        <v>3886</v>
      </c>
      <c r="Q131" s="102">
        <f t="shared" si="20"/>
        <v>0</v>
      </c>
      <c r="R131" s="31" t="s">
        <v>5</v>
      </c>
      <c r="S131" s="1">
        <v>1</v>
      </c>
      <c r="T131" s="155"/>
      <c r="W131" s="220">
        <f>I131-'[2]1.RSP Districts '!I130</f>
        <v>386</v>
      </c>
    </row>
    <row r="132" spans="1:23" s="6" customFormat="1" hidden="1" x14ac:dyDescent="0.25">
      <c r="A132" s="22">
        <v>19</v>
      </c>
      <c r="B132" s="23" t="s">
        <v>218</v>
      </c>
      <c r="C132" s="24">
        <v>70</v>
      </c>
      <c r="D132" s="24">
        <v>6</v>
      </c>
      <c r="E132" s="24">
        <f>'[11]1.RSP Districts '!F132</f>
        <v>6</v>
      </c>
      <c r="F132" s="102">
        <f t="shared" si="16"/>
        <v>0</v>
      </c>
      <c r="G132" s="102">
        <f t="shared" si="17"/>
        <v>8.5714285714285712</v>
      </c>
      <c r="H132" s="24">
        <v>14</v>
      </c>
      <c r="I132" s="24">
        <f>'[11]1.RSP Districts '!J132</f>
        <v>18</v>
      </c>
      <c r="J132" s="29">
        <v>202554</v>
      </c>
      <c r="K132" s="24">
        <v>6601</v>
      </c>
      <c r="L132" s="24">
        <f>'[11]1.RSP Districts '!N132</f>
        <v>7638</v>
      </c>
      <c r="M132" s="102">
        <f t="shared" si="18"/>
        <v>15.709740948341159</v>
      </c>
      <c r="N132" s="102">
        <f t="shared" si="19"/>
        <v>3.7708462928404276</v>
      </c>
      <c r="O132" s="24">
        <v>440</v>
      </c>
      <c r="P132" s="24">
        <f>'[11]1.RSP Districts '!S132</f>
        <v>509</v>
      </c>
      <c r="Q132" s="102">
        <f t="shared" si="20"/>
        <v>15.68181818181818</v>
      </c>
      <c r="R132" s="31" t="s">
        <v>6</v>
      </c>
      <c r="S132" s="1">
        <v>1</v>
      </c>
      <c r="T132" s="155"/>
    </row>
    <row r="133" spans="1:23" s="6" customFormat="1" hidden="1" x14ac:dyDescent="0.25">
      <c r="A133" s="22">
        <v>20</v>
      </c>
      <c r="B133" s="23" t="s">
        <v>119</v>
      </c>
      <c r="C133" s="24">
        <v>65</v>
      </c>
      <c r="D133" s="24">
        <v>53</v>
      </c>
      <c r="E133" s="24">
        <f>'[11]1.RSP Districts '!F133</f>
        <v>53</v>
      </c>
      <c r="F133" s="102">
        <f t="shared" si="16"/>
        <v>0</v>
      </c>
      <c r="G133" s="102">
        <f t="shared" si="17"/>
        <v>81.538461538461533</v>
      </c>
      <c r="H133" s="24">
        <v>244</v>
      </c>
      <c r="I133" s="24">
        <f>'[11]1.RSP Districts '!J133</f>
        <v>244</v>
      </c>
      <c r="J133" s="24">
        <v>106515</v>
      </c>
      <c r="K133" s="24">
        <v>37629</v>
      </c>
      <c r="L133" s="24">
        <f>'[11]1.RSP Districts '!N133</f>
        <v>38916</v>
      </c>
      <c r="M133" s="102">
        <f t="shared" si="18"/>
        <v>3.4202343936857211</v>
      </c>
      <c r="N133" s="102">
        <f t="shared" si="19"/>
        <v>36.535699197296154</v>
      </c>
      <c r="O133" s="24">
        <v>2434</v>
      </c>
      <c r="P133" s="24">
        <f>'[11]1.RSP Districts '!S133</f>
        <v>2509</v>
      </c>
      <c r="Q133" s="102">
        <f t="shared" si="20"/>
        <v>3.0813475760065736</v>
      </c>
      <c r="R133" s="31" t="s">
        <v>6</v>
      </c>
      <c r="S133" s="1">
        <v>1</v>
      </c>
      <c r="T133" s="155"/>
    </row>
    <row r="134" spans="1:23" s="6" customFormat="1" hidden="1" x14ac:dyDescent="0.25">
      <c r="A134" s="22">
        <v>20</v>
      </c>
      <c r="B134" s="23" t="s">
        <v>245</v>
      </c>
      <c r="C134" s="24">
        <v>65</v>
      </c>
      <c r="D134" s="38">
        <v>9</v>
      </c>
      <c r="E134" s="38">
        <v>9</v>
      </c>
      <c r="F134" s="102">
        <f t="shared" ref="F134" si="32">(E134-D134)/D134%</f>
        <v>0</v>
      </c>
      <c r="G134" s="102">
        <f t="shared" ref="G134" si="33">E134/C134%</f>
        <v>13.846153846153845</v>
      </c>
      <c r="H134" s="38">
        <v>21</v>
      </c>
      <c r="I134" s="38">
        <v>21</v>
      </c>
      <c r="J134" s="24">
        <v>106515</v>
      </c>
      <c r="K134" s="38">
        <v>414</v>
      </c>
      <c r="L134" s="38">
        <v>414</v>
      </c>
      <c r="M134" s="102">
        <f t="shared" ref="M134" si="34">(L134-K134)/K134%</f>
        <v>0</v>
      </c>
      <c r="N134" s="102">
        <f t="shared" ref="N134" si="35">L134/J134%</f>
        <v>0.38867765103506546</v>
      </c>
      <c r="O134" s="38">
        <v>35</v>
      </c>
      <c r="P134" s="38">
        <v>35</v>
      </c>
      <c r="Q134" s="102">
        <f t="shared" ref="Q134" si="36">(P134-O134)/O134%</f>
        <v>0</v>
      </c>
      <c r="R134" s="31" t="s">
        <v>5</v>
      </c>
      <c r="S134" s="1">
        <v>1</v>
      </c>
      <c r="T134" s="155" t="s">
        <v>246</v>
      </c>
      <c r="W134" s="220">
        <f>I134-'[2]1.RSP Districts '!I133</f>
        <v>21</v>
      </c>
    </row>
    <row r="135" spans="1:23" s="6" customFormat="1" hidden="1" x14ac:dyDescent="0.25">
      <c r="A135" s="22">
        <v>21</v>
      </c>
      <c r="B135" s="23" t="s">
        <v>120</v>
      </c>
      <c r="C135" s="24">
        <v>53</v>
      </c>
      <c r="D135" s="38">
        <v>56</v>
      </c>
      <c r="E135" s="38">
        <v>56</v>
      </c>
      <c r="F135" s="102">
        <f t="shared" si="16"/>
        <v>0</v>
      </c>
      <c r="G135" s="102">
        <f t="shared" si="17"/>
        <v>105.66037735849056</v>
      </c>
      <c r="H135" s="38">
        <v>228</v>
      </c>
      <c r="I135" s="38">
        <v>228</v>
      </c>
      <c r="J135" s="29">
        <v>120486</v>
      </c>
      <c r="K135" s="38">
        <v>80437</v>
      </c>
      <c r="L135" s="38">
        <v>83506</v>
      </c>
      <c r="M135" s="102">
        <f t="shared" si="18"/>
        <v>3.8154083319865237</v>
      </c>
      <c r="N135" s="102">
        <f t="shared" si="19"/>
        <v>69.307637401855828</v>
      </c>
      <c r="O135" s="38">
        <v>4602</v>
      </c>
      <c r="P135" s="38">
        <v>4792</v>
      </c>
      <c r="Q135" s="102">
        <f t="shared" si="20"/>
        <v>4.1286397218600603</v>
      </c>
      <c r="R135" s="31" t="s">
        <v>5</v>
      </c>
      <c r="S135" s="1">
        <v>1</v>
      </c>
      <c r="T135" s="155"/>
      <c r="W135" s="220">
        <f>I135-'[2]1.RSP Districts '!I134</f>
        <v>228</v>
      </c>
    </row>
    <row r="136" spans="1:23" s="6" customFormat="1" hidden="1" x14ac:dyDescent="0.25">
      <c r="A136" s="22">
        <v>22</v>
      </c>
      <c r="B136" s="23" t="s">
        <v>121</v>
      </c>
      <c r="C136" s="24">
        <v>69</v>
      </c>
      <c r="D136" s="24">
        <v>22</v>
      </c>
      <c r="E136" s="24">
        <f>'[11]1.RSP Districts '!F136</f>
        <v>22</v>
      </c>
      <c r="F136" s="102">
        <f t="shared" si="16"/>
        <v>0</v>
      </c>
      <c r="G136" s="102">
        <f t="shared" si="17"/>
        <v>31.884057971014496</v>
      </c>
      <c r="H136" s="24">
        <v>148</v>
      </c>
      <c r="I136" s="24">
        <f>'[11]1.RSP Districts '!J136</f>
        <v>148</v>
      </c>
      <c r="J136" s="24">
        <v>261678</v>
      </c>
      <c r="K136" s="24">
        <v>35212</v>
      </c>
      <c r="L136" s="24">
        <f>'[11]1.RSP Districts '!N136</f>
        <v>35212</v>
      </c>
      <c r="M136" s="102">
        <f t="shared" si="18"/>
        <v>0</v>
      </c>
      <c r="N136" s="102">
        <f t="shared" si="19"/>
        <v>13.456232468912173</v>
      </c>
      <c r="O136" s="24">
        <v>2382</v>
      </c>
      <c r="P136" s="24">
        <f>'[11]1.RSP Districts '!S136</f>
        <v>2382</v>
      </c>
      <c r="Q136" s="102">
        <f t="shared" si="20"/>
        <v>0</v>
      </c>
      <c r="R136" s="31" t="s">
        <v>6</v>
      </c>
      <c r="S136" s="1">
        <v>1</v>
      </c>
      <c r="T136" s="155"/>
    </row>
    <row r="137" spans="1:23" hidden="1" x14ac:dyDescent="0.25">
      <c r="A137" s="22">
        <v>22</v>
      </c>
      <c r="B137" s="23" t="s">
        <v>122</v>
      </c>
      <c r="C137" s="24">
        <v>69</v>
      </c>
      <c r="D137" s="38">
        <v>58</v>
      </c>
      <c r="E137" s="38">
        <v>58</v>
      </c>
      <c r="F137" s="102">
        <f t="shared" si="16"/>
        <v>0</v>
      </c>
      <c r="G137" s="102">
        <f t="shared" si="17"/>
        <v>84.057971014492765</v>
      </c>
      <c r="H137" s="38">
        <v>169</v>
      </c>
      <c r="I137" s="38">
        <v>169</v>
      </c>
      <c r="J137" s="24">
        <v>261678</v>
      </c>
      <c r="K137" s="38">
        <v>17654</v>
      </c>
      <c r="L137" s="38">
        <v>17654</v>
      </c>
      <c r="M137" s="102">
        <f t="shared" si="18"/>
        <v>0</v>
      </c>
      <c r="N137" s="102">
        <f t="shared" si="19"/>
        <v>6.7464593890200932</v>
      </c>
      <c r="O137" s="38">
        <v>1958</v>
      </c>
      <c r="P137" s="38">
        <v>1958</v>
      </c>
      <c r="Q137" s="102">
        <f t="shared" si="20"/>
        <v>0</v>
      </c>
      <c r="R137" s="26" t="s">
        <v>5</v>
      </c>
      <c r="S137" s="1">
        <v>1</v>
      </c>
      <c r="T137" s="155"/>
      <c r="W137" s="220">
        <f>I137-'[2]1.RSP Districts '!I136</f>
        <v>169</v>
      </c>
    </row>
    <row r="138" spans="1:23" s="6" customFormat="1" hidden="1" x14ac:dyDescent="0.25">
      <c r="A138" s="22">
        <v>23</v>
      </c>
      <c r="B138" s="23" t="s">
        <v>123</v>
      </c>
      <c r="C138" s="24">
        <v>93</v>
      </c>
      <c r="D138" s="24">
        <v>24</v>
      </c>
      <c r="E138" s="24">
        <f>'[11]1.RSP Districts '!F138</f>
        <v>24</v>
      </c>
      <c r="F138" s="102">
        <f t="shared" si="16"/>
        <v>0</v>
      </c>
      <c r="G138" s="102">
        <f t="shared" si="17"/>
        <v>25.806451612903224</v>
      </c>
      <c r="H138" s="24">
        <v>256</v>
      </c>
      <c r="I138" s="24">
        <f>'[11]1.RSP Districts '!J138</f>
        <v>277</v>
      </c>
      <c r="J138" s="24">
        <v>317647</v>
      </c>
      <c r="K138" s="24">
        <v>152456</v>
      </c>
      <c r="L138" s="24">
        <f>'[11]1.RSP Districts '!N138</f>
        <v>153890</v>
      </c>
      <c r="M138" s="102">
        <f t="shared" si="18"/>
        <v>0.94059925486697804</v>
      </c>
      <c r="N138" s="102">
        <f t="shared" si="19"/>
        <v>48.446860823492749</v>
      </c>
      <c r="O138" s="24">
        <v>9249</v>
      </c>
      <c r="P138" s="24">
        <f>'[11]1.RSP Districts '!S138</f>
        <v>9342</v>
      </c>
      <c r="Q138" s="102">
        <f t="shared" si="20"/>
        <v>1.0055141096334739</v>
      </c>
      <c r="R138" s="31" t="s">
        <v>6</v>
      </c>
      <c r="S138" s="1">
        <v>1</v>
      </c>
      <c r="T138" s="155"/>
    </row>
    <row r="139" spans="1:23" hidden="1" x14ac:dyDescent="0.25">
      <c r="A139" s="22">
        <v>23</v>
      </c>
      <c r="B139" s="23" t="s">
        <v>124</v>
      </c>
      <c r="C139" s="24">
        <v>93</v>
      </c>
      <c r="D139" s="38">
        <v>24</v>
      </c>
      <c r="E139" s="38">
        <v>24</v>
      </c>
      <c r="F139" s="102">
        <f t="shared" si="16"/>
        <v>0</v>
      </c>
      <c r="G139" s="102">
        <f t="shared" si="17"/>
        <v>25.806451612903224</v>
      </c>
      <c r="H139" s="38">
        <v>0</v>
      </c>
      <c r="I139" s="38">
        <v>0</v>
      </c>
      <c r="J139" s="24">
        <v>317647</v>
      </c>
      <c r="K139" s="38">
        <v>0</v>
      </c>
      <c r="L139" s="38">
        <v>0</v>
      </c>
      <c r="M139" s="102">
        <v>0</v>
      </c>
      <c r="N139" s="102">
        <f t="shared" si="19"/>
        <v>0</v>
      </c>
      <c r="O139" s="38">
        <v>0</v>
      </c>
      <c r="P139" s="38">
        <v>0</v>
      </c>
      <c r="Q139" s="102">
        <v>0</v>
      </c>
      <c r="R139" s="26" t="s">
        <v>5</v>
      </c>
      <c r="S139" s="1">
        <v>1</v>
      </c>
      <c r="T139" s="155"/>
      <c r="W139" s="220">
        <f>I139-'[2]1.RSP Districts '!I138</f>
        <v>0</v>
      </c>
    </row>
    <row r="140" spans="1:23" hidden="1" x14ac:dyDescent="0.25">
      <c r="A140" s="22">
        <v>24</v>
      </c>
      <c r="B140" s="23" t="s">
        <v>226</v>
      </c>
      <c r="C140" s="24">
        <v>65</v>
      </c>
      <c r="D140" s="24">
        <v>0</v>
      </c>
      <c r="E140" s="24">
        <f>'[11]1.RSP Districts '!F140</f>
        <v>0</v>
      </c>
      <c r="F140" s="102">
        <v>0</v>
      </c>
      <c r="G140" s="102">
        <f t="shared" si="17"/>
        <v>0</v>
      </c>
      <c r="H140" s="24">
        <v>229</v>
      </c>
      <c r="I140" s="24">
        <f>'[11]1.RSP Districts '!J140</f>
        <v>229</v>
      </c>
      <c r="J140" s="24">
        <v>187137</v>
      </c>
      <c r="K140" s="24">
        <v>695</v>
      </c>
      <c r="L140" s="24">
        <f>'[11]1.RSP Districts '!N140</f>
        <v>695</v>
      </c>
      <c r="M140" s="102">
        <f t="shared" si="18"/>
        <v>0</v>
      </c>
      <c r="N140" s="102">
        <f t="shared" si="19"/>
        <v>0.37138566932247502</v>
      </c>
      <c r="O140" s="24">
        <v>45</v>
      </c>
      <c r="P140" s="24">
        <f>'[11]1.RSP Districts '!S140</f>
        <v>45</v>
      </c>
      <c r="Q140" s="102">
        <f t="shared" si="20"/>
        <v>0</v>
      </c>
      <c r="R140" s="79" t="s">
        <v>6</v>
      </c>
      <c r="S140" s="1">
        <v>1</v>
      </c>
      <c r="T140" s="155"/>
    </row>
    <row r="141" spans="1:23" s="6" customFormat="1" hidden="1" x14ac:dyDescent="0.25">
      <c r="A141" s="22">
        <v>25</v>
      </c>
      <c r="B141" s="23" t="s">
        <v>125</v>
      </c>
      <c r="C141" s="24">
        <v>74</v>
      </c>
      <c r="D141" s="24">
        <v>61</v>
      </c>
      <c r="E141" s="24">
        <f>'[11]1.RSP Districts '!F141</f>
        <v>61</v>
      </c>
      <c r="F141" s="102">
        <f t="shared" si="16"/>
        <v>0</v>
      </c>
      <c r="G141" s="102">
        <f t="shared" si="17"/>
        <v>82.432432432432435</v>
      </c>
      <c r="H141" s="24">
        <v>554</v>
      </c>
      <c r="I141" s="24">
        <f>'[11]1.RSP Districts '!J141</f>
        <v>554</v>
      </c>
      <c r="J141" s="24">
        <v>150406</v>
      </c>
      <c r="K141" s="24">
        <v>117158</v>
      </c>
      <c r="L141" s="24">
        <f>'[11]1.RSP Districts '!N141</f>
        <v>124666</v>
      </c>
      <c r="M141" s="102">
        <f t="shared" si="18"/>
        <v>6.4084398846002841</v>
      </c>
      <c r="N141" s="102">
        <f t="shared" si="19"/>
        <v>82.886321024427218</v>
      </c>
      <c r="O141" s="24">
        <v>5613</v>
      </c>
      <c r="P141" s="24">
        <f>'[11]1.RSP Districts '!S141</f>
        <v>5892</v>
      </c>
      <c r="Q141" s="102">
        <f t="shared" si="20"/>
        <v>4.970603955104222</v>
      </c>
      <c r="R141" s="31" t="s">
        <v>6</v>
      </c>
      <c r="S141" s="1">
        <v>1</v>
      </c>
      <c r="T141" s="155"/>
    </row>
    <row r="142" spans="1:23" s="6" customFormat="1" hidden="1" x14ac:dyDescent="0.25">
      <c r="A142" s="22">
        <v>26</v>
      </c>
      <c r="B142" s="23" t="s">
        <v>126</v>
      </c>
      <c r="C142" s="24">
        <v>111</v>
      </c>
      <c r="D142" s="24">
        <v>27</v>
      </c>
      <c r="E142" s="24">
        <f>'[11]1.RSP Districts '!F142</f>
        <v>27</v>
      </c>
      <c r="F142" s="102">
        <f t="shared" si="16"/>
        <v>0</v>
      </c>
      <c r="G142" s="102">
        <f t="shared" si="17"/>
        <v>24.324324324324323</v>
      </c>
      <c r="H142" s="24">
        <v>229</v>
      </c>
      <c r="I142" s="24">
        <f>'[11]1.RSP Districts '!J142</f>
        <v>229</v>
      </c>
      <c r="J142" s="24">
        <v>270191</v>
      </c>
      <c r="K142" s="24">
        <v>36794</v>
      </c>
      <c r="L142" s="24">
        <f>'[11]1.RSP Districts '!N142</f>
        <v>38189</v>
      </c>
      <c r="M142" s="102">
        <f t="shared" si="18"/>
        <v>3.7913790291895419</v>
      </c>
      <c r="N142" s="102">
        <f t="shared" si="19"/>
        <v>14.134075524351292</v>
      </c>
      <c r="O142" s="24">
        <v>2429</v>
      </c>
      <c r="P142" s="24">
        <f>'[11]1.RSP Districts '!S142</f>
        <v>2520</v>
      </c>
      <c r="Q142" s="102">
        <f t="shared" si="20"/>
        <v>3.7463976945244957</v>
      </c>
      <c r="R142" s="31" t="s">
        <v>6</v>
      </c>
      <c r="S142" s="1">
        <v>1</v>
      </c>
      <c r="T142" s="155"/>
    </row>
    <row r="143" spans="1:23" s="6" customFormat="1" hidden="1" x14ac:dyDescent="0.25">
      <c r="A143" s="22">
        <v>27</v>
      </c>
      <c r="B143" s="23" t="s">
        <v>127</v>
      </c>
      <c r="C143" s="24">
        <v>63</v>
      </c>
      <c r="D143" s="24">
        <v>20</v>
      </c>
      <c r="E143" s="24">
        <f>'[11]1.RSP Districts '!F143</f>
        <v>20</v>
      </c>
      <c r="F143" s="102">
        <f t="shared" si="16"/>
        <v>0</v>
      </c>
      <c r="G143" s="102">
        <f t="shared" si="17"/>
        <v>31.746031746031747</v>
      </c>
      <c r="H143" s="24">
        <v>174</v>
      </c>
      <c r="I143" s="24">
        <f>'[11]1.RSP Districts '!J143</f>
        <v>174</v>
      </c>
      <c r="J143" s="24">
        <v>174888</v>
      </c>
      <c r="K143" s="24">
        <v>25183</v>
      </c>
      <c r="L143" s="24">
        <f>'[11]1.RSP Districts '!N143</f>
        <v>26506</v>
      </c>
      <c r="M143" s="102">
        <f t="shared" si="18"/>
        <v>5.2535440574991066</v>
      </c>
      <c r="N143" s="102">
        <f t="shared" si="19"/>
        <v>15.155985545034536</v>
      </c>
      <c r="O143" s="24">
        <v>1634</v>
      </c>
      <c r="P143" s="24">
        <f>'[11]1.RSP Districts '!S143</f>
        <v>1720</v>
      </c>
      <c r="Q143" s="102">
        <f t="shared" si="20"/>
        <v>5.2631578947368425</v>
      </c>
      <c r="R143" s="31" t="s">
        <v>6</v>
      </c>
      <c r="S143" s="1">
        <v>1</v>
      </c>
      <c r="T143" s="155"/>
    </row>
    <row r="144" spans="1:23" hidden="1" x14ac:dyDescent="0.25">
      <c r="A144" s="22">
        <v>27</v>
      </c>
      <c r="B144" s="23" t="s">
        <v>128</v>
      </c>
      <c r="C144" s="24">
        <v>63</v>
      </c>
      <c r="D144" s="38">
        <v>54</v>
      </c>
      <c r="E144" s="38">
        <v>54</v>
      </c>
      <c r="F144" s="102">
        <f t="shared" si="16"/>
        <v>0</v>
      </c>
      <c r="G144" s="102">
        <f t="shared" si="17"/>
        <v>85.714285714285708</v>
      </c>
      <c r="H144" s="38">
        <v>291</v>
      </c>
      <c r="I144" s="38">
        <v>291</v>
      </c>
      <c r="J144" s="24">
        <v>174888</v>
      </c>
      <c r="K144" s="38">
        <v>12295</v>
      </c>
      <c r="L144" s="38">
        <v>12295</v>
      </c>
      <c r="M144" s="102">
        <f t="shared" si="18"/>
        <v>0</v>
      </c>
      <c r="N144" s="102">
        <f t="shared" si="19"/>
        <v>7.0302136224326421</v>
      </c>
      <c r="O144" s="38">
        <v>1486</v>
      </c>
      <c r="P144" s="38">
        <v>1486</v>
      </c>
      <c r="Q144" s="102">
        <f t="shared" si="20"/>
        <v>0</v>
      </c>
      <c r="R144" s="26" t="s">
        <v>5</v>
      </c>
      <c r="S144" s="1">
        <v>1</v>
      </c>
      <c r="T144" s="155"/>
      <c r="W144" s="220">
        <f>I144-'[2]1.RSP Districts '!I143</f>
        <v>291</v>
      </c>
    </row>
    <row r="145" spans="1:23" s="6" customFormat="1" hidden="1" x14ac:dyDescent="0.25">
      <c r="A145" s="22">
        <v>28</v>
      </c>
      <c r="B145" s="23" t="s">
        <v>129</v>
      </c>
      <c r="C145" s="24">
        <v>103</v>
      </c>
      <c r="D145" s="38">
        <v>103</v>
      </c>
      <c r="E145" s="38">
        <v>103</v>
      </c>
      <c r="F145" s="102">
        <f t="shared" si="16"/>
        <v>0</v>
      </c>
      <c r="G145" s="102">
        <f t="shared" si="17"/>
        <v>100</v>
      </c>
      <c r="H145" s="38">
        <v>474</v>
      </c>
      <c r="I145" s="38">
        <v>474</v>
      </c>
      <c r="J145" s="29">
        <v>338677</v>
      </c>
      <c r="K145" s="38">
        <v>81003</v>
      </c>
      <c r="L145" s="38">
        <v>85709</v>
      </c>
      <c r="M145" s="102">
        <f t="shared" si="18"/>
        <v>5.8096613705665225</v>
      </c>
      <c r="N145" s="102">
        <f t="shared" si="19"/>
        <v>25.307003428045011</v>
      </c>
      <c r="O145" s="38">
        <v>7409</v>
      </c>
      <c r="P145" s="38">
        <v>7831</v>
      </c>
      <c r="Q145" s="102">
        <f t="shared" si="20"/>
        <v>5.6957754082872176</v>
      </c>
      <c r="R145" s="31" t="s">
        <v>5</v>
      </c>
      <c r="S145" s="1">
        <v>1</v>
      </c>
      <c r="T145" s="155"/>
      <c r="W145" s="220">
        <f>I145-'[2]1.RSP Districts '!I144</f>
        <v>474</v>
      </c>
    </row>
    <row r="146" spans="1:23" s="6" customFormat="1" hidden="1" x14ac:dyDescent="0.25">
      <c r="A146" s="22">
        <v>29</v>
      </c>
      <c r="B146" s="23" t="s">
        <v>130</v>
      </c>
      <c r="C146" s="24">
        <v>44</v>
      </c>
      <c r="D146" s="38">
        <v>43</v>
      </c>
      <c r="E146" s="38">
        <v>43</v>
      </c>
      <c r="F146" s="102">
        <f t="shared" si="16"/>
        <v>0</v>
      </c>
      <c r="G146" s="102">
        <f t="shared" si="17"/>
        <v>97.727272727272734</v>
      </c>
      <c r="H146" s="38">
        <v>373</v>
      </c>
      <c r="I146" s="38">
        <v>373</v>
      </c>
      <c r="J146" s="29">
        <v>133182</v>
      </c>
      <c r="K146" s="38">
        <v>102476</v>
      </c>
      <c r="L146" s="38">
        <v>102998</v>
      </c>
      <c r="M146" s="102">
        <f t="shared" si="18"/>
        <v>0.50938756391740503</v>
      </c>
      <c r="N146" s="102">
        <f t="shared" si="19"/>
        <v>77.336276674025015</v>
      </c>
      <c r="O146" s="38">
        <v>6813</v>
      </c>
      <c r="P146" s="38">
        <v>6841</v>
      </c>
      <c r="Q146" s="102">
        <f t="shared" si="20"/>
        <v>0.41097901071480997</v>
      </c>
      <c r="R146" s="31" t="s">
        <v>5</v>
      </c>
      <c r="S146" s="1">
        <v>1</v>
      </c>
      <c r="T146" s="155"/>
      <c r="W146" s="220">
        <f>I146-'[2]1.RSP Districts '!I145</f>
        <v>373</v>
      </c>
    </row>
    <row r="147" spans="1:23" s="6" customFormat="1" hidden="1" x14ac:dyDescent="0.25">
      <c r="A147" s="22">
        <v>29</v>
      </c>
      <c r="B147" s="23" t="s">
        <v>227</v>
      </c>
      <c r="C147" s="24">
        <v>44</v>
      </c>
      <c r="D147" s="24">
        <v>0</v>
      </c>
      <c r="E147" s="24">
        <f>'[11]1.RSP Districts '!F147</f>
        <v>0</v>
      </c>
      <c r="F147" s="102">
        <v>0</v>
      </c>
      <c r="G147" s="102">
        <f t="shared" si="17"/>
        <v>0</v>
      </c>
      <c r="H147" s="24">
        <v>319</v>
      </c>
      <c r="I147" s="24">
        <f>'[11]1.RSP Districts '!J147</f>
        <v>319</v>
      </c>
      <c r="J147" s="24">
        <v>133182</v>
      </c>
      <c r="K147" s="24">
        <v>18650</v>
      </c>
      <c r="L147" s="24">
        <f>'[11]1.RSP Districts '!N147</f>
        <v>18650</v>
      </c>
      <c r="M147" s="102">
        <f t="shared" si="18"/>
        <v>0</v>
      </c>
      <c r="N147" s="102">
        <f t="shared" si="19"/>
        <v>14.003393852022045</v>
      </c>
      <c r="O147" s="24">
        <v>1218</v>
      </c>
      <c r="P147" s="24">
        <f>'[11]1.RSP Districts '!S147</f>
        <v>1218</v>
      </c>
      <c r="Q147" s="102">
        <f t="shared" si="20"/>
        <v>0</v>
      </c>
      <c r="R147" s="31" t="s">
        <v>6</v>
      </c>
      <c r="S147" s="1">
        <v>1</v>
      </c>
      <c r="T147" s="155"/>
    </row>
    <row r="148" spans="1:23" s="6" customFormat="1" hidden="1" x14ac:dyDescent="0.25">
      <c r="A148" s="22">
        <v>30</v>
      </c>
      <c r="B148" s="23" t="s">
        <v>131</v>
      </c>
      <c r="C148" s="24">
        <v>58</v>
      </c>
      <c r="D148" s="38">
        <v>58</v>
      </c>
      <c r="E148" s="38">
        <v>58</v>
      </c>
      <c r="F148" s="102">
        <f t="shared" si="16"/>
        <v>0</v>
      </c>
      <c r="G148" s="102">
        <f t="shared" si="17"/>
        <v>100</v>
      </c>
      <c r="H148" s="38">
        <v>319</v>
      </c>
      <c r="I148" s="38">
        <v>319</v>
      </c>
      <c r="J148" s="29">
        <v>256911</v>
      </c>
      <c r="K148" s="38">
        <v>89912</v>
      </c>
      <c r="L148" s="38">
        <v>90730</v>
      </c>
      <c r="M148" s="102">
        <f t="shared" si="18"/>
        <v>0.9097784500400391</v>
      </c>
      <c r="N148" s="102">
        <f t="shared" si="19"/>
        <v>35.315731907158508</v>
      </c>
      <c r="O148" s="38">
        <v>6087</v>
      </c>
      <c r="P148" s="38">
        <v>6125</v>
      </c>
      <c r="Q148" s="102">
        <f t="shared" si="20"/>
        <v>0.62428125513389188</v>
      </c>
      <c r="R148" s="31" t="s">
        <v>5</v>
      </c>
      <c r="S148" s="1">
        <v>1</v>
      </c>
      <c r="T148" s="155"/>
      <c r="W148" s="220">
        <f>I148-'[2]1.RSP Districts '!I147</f>
        <v>319</v>
      </c>
    </row>
    <row r="149" spans="1:23" s="6" customFormat="1" hidden="1" x14ac:dyDescent="0.25">
      <c r="A149" s="22">
        <v>31</v>
      </c>
      <c r="B149" s="23" t="s">
        <v>132</v>
      </c>
      <c r="C149" s="24">
        <v>83</v>
      </c>
      <c r="D149" s="24">
        <v>39</v>
      </c>
      <c r="E149" s="24">
        <f>'[11]1.RSP Districts '!F149</f>
        <v>39</v>
      </c>
      <c r="F149" s="102">
        <f t="shared" si="16"/>
        <v>0</v>
      </c>
      <c r="G149" s="102">
        <f t="shared" si="17"/>
        <v>46.987951807228917</v>
      </c>
      <c r="H149" s="24">
        <v>272</v>
      </c>
      <c r="I149" s="24">
        <f>'[11]1.RSP Districts '!J149</f>
        <v>272</v>
      </c>
      <c r="J149" s="24">
        <v>227413</v>
      </c>
      <c r="K149" s="24">
        <v>47193</v>
      </c>
      <c r="L149" s="24">
        <f>'[11]1.RSP Districts '!N149</f>
        <v>49428</v>
      </c>
      <c r="M149" s="102">
        <f t="shared" si="18"/>
        <v>4.7358718454008013</v>
      </c>
      <c r="N149" s="102">
        <f t="shared" si="19"/>
        <v>21.734905216500376</v>
      </c>
      <c r="O149" s="24">
        <v>2978</v>
      </c>
      <c r="P149" s="24">
        <f>'[11]1.RSP Districts '!S149</f>
        <v>3127</v>
      </c>
      <c r="Q149" s="102">
        <f t="shared" si="20"/>
        <v>5.0033579583613159</v>
      </c>
      <c r="R149" s="31" t="s">
        <v>6</v>
      </c>
      <c r="S149" s="1">
        <v>1</v>
      </c>
      <c r="T149" s="155"/>
    </row>
    <row r="150" spans="1:23" hidden="1" x14ac:dyDescent="0.25">
      <c r="A150" s="22">
        <v>31</v>
      </c>
      <c r="B150" s="23" t="s">
        <v>133</v>
      </c>
      <c r="C150" s="24">
        <v>83</v>
      </c>
      <c r="D150" s="38">
        <v>52</v>
      </c>
      <c r="E150" s="38">
        <v>52</v>
      </c>
      <c r="F150" s="102">
        <f t="shared" si="16"/>
        <v>0</v>
      </c>
      <c r="G150" s="102">
        <f t="shared" si="17"/>
        <v>62.650602409638559</v>
      </c>
      <c r="H150" s="38">
        <v>218</v>
      </c>
      <c r="I150" s="38">
        <v>218</v>
      </c>
      <c r="J150" s="24">
        <v>227413</v>
      </c>
      <c r="K150" s="38">
        <v>12414</v>
      </c>
      <c r="L150" s="38">
        <v>12414</v>
      </c>
      <c r="M150" s="102">
        <f t="shared" si="18"/>
        <v>0</v>
      </c>
      <c r="N150" s="102">
        <f t="shared" si="19"/>
        <v>5.4587908342970719</v>
      </c>
      <c r="O150" s="38">
        <v>1201</v>
      </c>
      <c r="P150" s="38">
        <v>1201</v>
      </c>
      <c r="Q150" s="102">
        <f t="shared" si="20"/>
        <v>0</v>
      </c>
      <c r="R150" s="26" t="s">
        <v>5</v>
      </c>
      <c r="S150" s="1">
        <v>1</v>
      </c>
      <c r="T150" s="155"/>
      <c r="W150" s="220">
        <f>I150-'[2]1.RSP Districts '!I149</f>
        <v>218</v>
      </c>
    </row>
    <row r="151" spans="1:23" s="6" customFormat="1" hidden="1" x14ac:dyDescent="0.25">
      <c r="A151" s="22">
        <v>32</v>
      </c>
      <c r="B151" s="23" t="s">
        <v>134</v>
      </c>
      <c r="C151" s="24">
        <v>132</v>
      </c>
      <c r="D151" s="24">
        <v>57</v>
      </c>
      <c r="E151" s="24">
        <f>'[11]1.RSP Districts '!F151</f>
        <v>57</v>
      </c>
      <c r="F151" s="102">
        <f t="shared" si="16"/>
        <v>0</v>
      </c>
      <c r="G151" s="102">
        <f t="shared" si="17"/>
        <v>43.18181818181818</v>
      </c>
      <c r="H151" s="24">
        <v>224</v>
      </c>
      <c r="I151" s="24">
        <f>'[11]1.RSP Districts '!J151</f>
        <v>224</v>
      </c>
      <c r="J151" s="24">
        <v>303958</v>
      </c>
      <c r="K151" s="24">
        <v>51043</v>
      </c>
      <c r="L151" s="24">
        <f>'[11]1.RSP Districts '!N151</f>
        <v>52173</v>
      </c>
      <c r="M151" s="102">
        <f t="shared" si="18"/>
        <v>2.2138197206277059</v>
      </c>
      <c r="N151" s="102">
        <f t="shared" si="19"/>
        <v>17.164542469683312</v>
      </c>
      <c r="O151" s="24">
        <v>3177</v>
      </c>
      <c r="P151" s="24">
        <f>'[11]1.RSP Districts '!S151</f>
        <v>3243</v>
      </c>
      <c r="Q151" s="102">
        <f t="shared" si="20"/>
        <v>2.0774315391879132</v>
      </c>
      <c r="R151" s="31" t="s">
        <v>6</v>
      </c>
      <c r="S151" s="1">
        <v>1</v>
      </c>
      <c r="T151" s="155"/>
    </row>
    <row r="152" spans="1:23" s="6" customFormat="1" hidden="1" x14ac:dyDescent="0.25">
      <c r="A152" s="22">
        <v>32</v>
      </c>
      <c r="B152" s="23" t="s">
        <v>238</v>
      </c>
      <c r="C152" s="24">
        <v>132</v>
      </c>
      <c r="D152" s="38">
        <v>116</v>
      </c>
      <c r="E152" s="38">
        <v>116</v>
      </c>
      <c r="F152" s="102">
        <v>0</v>
      </c>
      <c r="G152" s="102">
        <f t="shared" si="17"/>
        <v>87.878787878787875</v>
      </c>
      <c r="H152" s="38">
        <v>652</v>
      </c>
      <c r="I152" s="38">
        <v>652</v>
      </c>
      <c r="J152" s="24">
        <v>303958</v>
      </c>
      <c r="K152" s="38">
        <v>16351</v>
      </c>
      <c r="L152" s="38">
        <v>17047</v>
      </c>
      <c r="M152" s="102">
        <f t="shared" si="18"/>
        <v>4.2566203901902027</v>
      </c>
      <c r="N152" s="102">
        <f t="shared" si="19"/>
        <v>5.608340626007541</v>
      </c>
      <c r="O152" s="38">
        <v>1419</v>
      </c>
      <c r="P152" s="38">
        <v>1478</v>
      </c>
      <c r="Q152" s="102">
        <f t="shared" si="20"/>
        <v>4.157857646229739</v>
      </c>
      <c r="R152" s="31" t="s">
        <v>5</v>
      </c>
      <c r="S152" s="1">
        <v>1</v>
      </c>
      <c r="T152" s="155"/>
      <c r="W152" s="220">
        <f>I152-'[2]1.RSP Districts '!I151</f>
        <v>652</v>
      </c>
    </row>
    <row r="153" spans="1:23" s="6" customFormat="1" hidden="1" x14ac:dyDescent="0.25">
      <c r="A153" s="22">
        <v>33</v>
      </c>
      <c r="B153" s="23" t="s">
        <v>135</v>
      </c>
      <c r="C153" s="24">
        <v>91</v>
      </c>
      <c r="D153" s="24">
        <v>10</v>
      </c>
      <c r="E153" s="24">
        <f>'[11]1.RSP Districts '!F153</f>
        <v>10</v>
      </c>
      <c r="F153" s="102">
        <f t="shared" si="16"/>
        <v>0</v>
      </c>
      <c r="G153" s="102">
        <f t="shared" si="17"/>
        <v>10.989010989010989</v>
      </c>
      <c r="H153" s="24">
        <v>143</v>
      </c>
      <c r="I153" s="24">
        <f>'[11]1.RSP Districts '!J153</f>
        <v>143</v>
      </c>
      <c r="J153" s="24">
        <v>207804.73300000001</v>
      </c>
      <c r="K153" s="24">
        <v>27023</v>
      </c>
      <c r="L153" s="24">
        <f>'[11]1.RSP Districts '!N153</f>
        <v>27577</v>
      </c>
      <c r="M153" s="102">
        <f t="shared" si="18"/>
        <v>2.0501054657143913</v>
      </c>
      <c r="N153" s="102">
        <f t="shared" si="19"/>
        <v>13.270631328690671</v>
      </c>
      <c r="O153" s="24">
        <v>1734</v>
      </c>
      <c r="P153" s="24">
        <f>'[11]1.RSP Districts '!S153</f>
        <v>1768</v>
      </c>
      <c r="Q153" s="102">
        <f t="shared" si="20"/>
        <v>1.9607843137254901</v>
      </c>
      <c r="R153" s="31" t="s">
        <v>6</v>
      </c>
      <c r="S153" s="1">
        <v>1</v>
      </c>
      <c r="T153" s="155"/>
    </row>
    <row r="154" spans="1:23" s="6" customFormat="1" hidden="1" x14ac:dyDescent="0.25">
      <c r="A154" s="22">
        <v>34</v>
      </c>
      <c r="B154" s="23" t="s">
        <v>136</v>
      </c>
      <c r="C154" s="24">
        <v>94</v>
      </c>
      <c r="D154" s="24">
        <v>87</v>
      </c>
      <c r="E154" s="24">
        <f>'[11]1.RSP Districts '!F154</f>
        <v>87</v>
      </c>
      <c r="F154" s="102">
        <f t="shared" si="16"/>
        <v>0</v>
      </c>
      <c r="G154" s="102">
        <f t="shared" si="17"/>
        <v>92.553191489361708</v>
      </c>
      <c r="H154" s="24">
        <v>788</v>
      </c>
      <c r="I154" s="24">
        <f>'[11]1.RSP Districts '!J154</f>
        <v>788</v>
      </c>
      <c r="J154" s="24">
        <v>275204</v>
      </c>
      <c r="K154" s="24">
        <v>167741</v>
      </c>
      <c r="L154" s="24">
        <f>'[11]1.RSP Districts '!N154</f>
        <v>177209</v>
      </c>
      <c r="M154" s="102">
        <f t="shared" si="18"/>
        <v>5.6444160938589851</v>
      </c>
      <c r="N154" s="102">
        <f t="shared" si="19"/>
        <v>64.391869304225224</v>
      </c>
      <c r="O154" s="24">
        <v>7458</v>
      </c>
      <c r="P154" s="24">
        <f>'[11]1.RSP Districts '!S154</f>
        <v>7773</v>
      </c>
      <c r="Q154" s="102">
        <f t="shared" si="20"/>
        <v>4.2236524537409492</v>
      </c>
      <c r="R154" s="31" t="s">
        <v>6</v>
      </c>
      <c r="S154" s="1">
        <v>1</v>
      </c>
      <c r="T154" s="155"/>
    </row>
    <row r="155" spans="1:23" s="6" customFormat="1" hidden="1" x14ac:dyDescent="0.25">
      <c r="A155" s="22">
        <v>35</v>
      </c>
      <c r="B155" s="23" t="s">
        <v>137</v>
      </c>
      <c r="C155" s="24">
        <v>79</v>
      </c>
      <c r="D155" s="24">
        <v>22</v>
      </c>
      <c r="E155" s="24">
        <f>'[11]1.RSP Districts '!F155</f>
        <v>22</v>
      </c>
      <c r="F155" s="102">
        <f t="shared" si="16"/>
        <v>0</v>
      </c>
      <c r="G155" s="102">
        <f t="shared" si="17"/>
        <v>27.848101265822784</v>
      </c>
      <c r="H155" s="24">
        <v>152</v>
      </c>
      <c r="I155" s="24">
        <f>'[11]1.RSP Districts '!J155</f>
        <v>152</v>
      </c>
      <c r="J155" s="24">
        <v>187555</v>
      </c>
      <c r="K155" s="24">
        <v>41430</v>
      </c>
      <c r="L155" s="24">
        <f>'[11]1.RSP Districts '!N155</f>
        <v>42639</v>
      </c>
      <c r="M155" s="102">
        <f t="shared" si="18"/>
        <v>2.9181752353367125</v>
      </c>
      <c r="N155" s="102">
        <f t="shared" si="19"/>
        <v>22.734131321479033</v>
      </c>
      <c r="O155" s="24">
        <v>2692</v>
      </c>
      <c r="P155" s="24">
        <f>'[11]1.RSP Districts '!S155</f>
        <v>2764</v>
      </c>
      <c r="Q155" s="102">
        <f t="shared" si="20"/>
        <v>2.6745913818722138</v>
      </c>
      <c r="R155" s="31" t="s">
        <v>6</v>
      </c>
      <c r="S155" s="1">
        <v>1</v>
      </c>
      <c r="T155" s="155"/>
    </row>
    <row r="156" spans="1:23" hidden="1" x14ac:dyDescent="0.25">
      <c r="A156" s="22">
        <v>35</v>
      </c>
      <c r="B156" s="23" t="s">
        <v>138</v>
      </c>
      <c r="C156" s="24">
        <v>79</v>
      </c>
      <c r="D156" s="38">
        <v>61</v>
      </c>
      <c r="E156" s="38">
        <v>61</v>
      </c>
      <c r="F156" s="102">
        <f t="shared" si="16"/>
        <v>0</v>
      </c>
      <c r="G156" s="102">
        <f t="shared" si="17"/>
        <v>77.215189873417714</v>
      </c>
      <c r="H156" s="38">
        <v>214</v>
      </c>
      <c r="I156" s="38">
        <v>214</v>
      </c>
      <c r="J156" s="24">
        <v>187555</v>
      </c>
      <c r="K156" s="38">
        <v>13594</v>
      </c>
      <c r="L156" s="38">
        <v>13594</v>
      </c>
      <c r="M156" s="102">
        <f t="shared" si="18"/>
        <v>0</v>
      </c>
      <c r="N156" s="102">
        <f t="shared" si="19"/>
        <v>7.248007251206313</v>
      </c>
      <c r="O156" s="38">
        <v>1545</v>
      </c>
      <c r="P156" s="38">
        <v>1545</v>
      </c>
      <c r="Q156" s="102">
        <f t="shared" si="20"/>
        <v>0</v>
      </c>
      <c r="R156" s="26" t="s">
        <v>5</v>
      </c>
      <c r="S156" s="1">
        <v>1</v>
      </c>
      <c r="T156" s="155"/>
      <c r="W156" s="220">
        <f>I156-'[2]1.RSP Districts '!I155</f>
        <v>214</v>
      </c>
    </row>
    <row r="157" spans="1:23" s="6" customFormat="1" hidden="1" x14ac:dyDescent="0.25">
      <c r="A157" s="36">
        <v>36</v>
      </c>
      <c r="B157" s="37" t="s">
        <v>139</v>
      </c>
      <c r="C157" s="38">
        <v>87</v>
      </c>
      <c r="D157" s="38">
        <v>80</v>
      </c>
      <c r="E157" s="38">
        <v>80</v>
      </c>
      <c r="F157" s="134">
        <f t="shared" si="16"/>
        <v>0</v>
      </c>
      <c r="G157" s="134">
        <f t="shared" si="17"/>
        <v>91.954022988505741</v>
      </c>
      <c r="H157" s="38">
        <v>528</v>
      </c>
      <c r="I157" s="38">
        <v>528</v>
      </c>
      <c r="J157" s="39">
        <v>257583</v>
      </c>
      <c r="K157" s="38">
        <v>39089</v>
      </c>
      <c r="L157" s="38">
        <v>39089</v>
      </c>
      <c r="M157" s="134">
        <f t="shared" si="18"/>
        <v>0</v>
      </c>
      <c r="N157" s="134">
        <f t="shared" si="19"/>
        <v>15.175302717958871</v>
      </c>
      <c r="O157" s="38">
        <v>3149</v>
      </c>
      <c r="P157" s="38">
        <v>3149</v>
      </c>
      <c r="Q157" s="134">
        <f t="shared" si="20"/>
        <v>0</v>
      </c>
      <c r="R157" s="41" t="s">
        <v>5</v>
      </c>
      <c r="S157" s="1">
        <v>1</v>
      </c>
      <c r="T157" s="155"/>
      <c r="W157" s="220">
        <f>I157-'[2]1.RSP Districts '!I156</f>
        <v>528</v>
      </c>
    </row>
    <row r="158" spans="1:23" s="4" customFormat="1" ht="14.4" hidden="1" thickBot="1" x14ac:dyDescent="0.3">
      <c r="A158" s="148">
        <f>COUNTIF(R107:R157,"*")-(15)</f>
        <v>36</v>
      </c>
      <c r="B158" s="147" t="s">
        <v>76</v>
      </c>
      <c r="C158" s="56">
        <f>SUM(C107:C157)-(C107+C116+C113+C132+C125+C136+C139+C143+C147+C149+C155+C152+C134+C121+C130)</f>
        <v>2635</v>
      </c>
      <c r="D158" s="56">
        <f>SUM(D107:D157)-(D107+D116+D113+D132+D125+D136+D139+D143+D147+D149+D155+D152+D134+D121)</f>
        <v>1782</v>
      </c>
      <c r="E158" s="56">
        <f>SUM(E107:E157)-(E107+E116+E113+E132+E125+E136+E139+E143+E147+E149+E155+E152+E134+E121+E130)</f>
        <v>1782</v>
      </c>
      <c r="F158" s="149">
        <f t="shared" si="16"/>
        <v>0</v>
      </c>
      <c r="G158" s="149">
        <f t="shared" si="17"/>
        <v>67.628083491461098</v>
      </c>
      <c r="H158" s="56">
        <f>SUM(H107:H157)</f>
        <v>14543</v>
      </c>
      <c r="I158" s="56">
        <f>SUM(I107:I157)</f>
        <v>14602</v>
      </c>
      <c r="J158" s="56">
        <f>SUM(J107:J157)-(J107+J116+J113+J132+J125+J136+J139+J143+J147+J149+J155+J152+J134+J121+J130)</f>
        <v>6063823.2431565113</v>
      </c>
      <c r="K158" s="56">
        <f>SUM(K107:K157)</f>
        <v>2890443</v>
      </c>
      <c r="L158" s="56">
        <f>SUM(L107:L157)</f>
        <v>2980219</v>
      </c>
      <c r="M158" s="149">
        <f t="shared" si="18"/>
        <v>3.1059598822741012</v>
      </c>
      <c r="N158" s="149">
        <f t="shared" si="19"/>
        <v>49.147524268016966</v>
      </c>
      <c r="O158" s="56">
        <f>SUM(O107:O157)</f>
        <v>188939</v>
      </c>
      <c r="P158" s="56">
        <f>SUM(P107:P157)</f>
        <v>194113</v>
      </c>
      <c r="Q158" s="149">
        <f t="shared" si="20"/>
        <v>2.7384499759181535</v>
      </c>
      <c r="R158" s="151"/>
      <c r="S158" s="1">
        <v>1</v>
      </c>
      <c r="T158" s="155"/>
    </row>
    <row r="159" spans="1:23" ht="26.25" hidden="1" customHeight="1" thickBot="1" x14ac:dyDescent="0.35">
      <c r="A159" s="34"/>
      <c r="B159" s="35"/>
      <c r="C159" s="27"/>
      <c r="D159" s="27"/>
      <c r="E159" s="27"/>
      <c r="F159" s="103"/>
      <c r="G159" s="103"/>
      <c r="H159" s="103"/>
      <c r="I159" s="103"/>
      <c r="J159" s="27"/>
      <c r="K159" s="27"/>
      <c r="L159" s="27"/>
      <c r="M159" s="27"/>
      <c r="N159" s="27"/>
      <c r="O159" s="27"/>
      <c r="P159" s="27"/>
      <c r="Q159" s="27"/>
      <c r="R159" s="14"/>
      <c r="S159" s="1">
        <v>1</v>
      </c>
    </row>
    <row r="160" spans="1:23" s="5" customFormat="1" hidden="1" x14ac:dyDescent="0.25">
      <c r="A160" s="17" t="s">
        <v>140</v>
      </c>
      <c r="B160" s="18"/>
      <c r="C160" s="19"/>
      <c r="D160" s="28"/>
      <c r="E160" s="28"/>
      <c r="F160" s="104"/>
      <c r="G160" s="104"/>
      <c r="H160" s="104"/>
      <c r="I160" s="104"/>
      <c r="J160" s="19"/>
      <c r="K160" s="28"/>
      <c r="L160" s="28"/>
      <c r="M160" s="28"/>
      <c r="N160" s="28"/>
      <c r="O160" s="28"/>
      <c r="P160" s="28"/>
      <c r="Q160" s="28"/>
      <c r="R160" s="21"/>
      <c r="S160" s="1">
        <v>1</v>
      </c>
    </row>
    <row r="161" spans="1:23" s="6" customFormat="1" hidden="1" x14ac:dyDescent="0.25">
      <c r="A161" s="22">
        <v>1</v>
      </c>
      <c r="B161" s="23" t="s">
        <v>141</v>
      </c>
      <c r="C161" s="24">
        <v>19</v>
      </c>
      <c r="D161" s="38">
        <v>19</v>
      </c>
      <c r="E161" s="38">
        <v>19</v>
      </c>
      <c r="F161" s="102">
        <f t="shared" ref="F161:F177" si="37">(E161-D161)/D161%</f>
        <v>0</v>
      </c>
      <c r="G161" s="102">
        <f t="shared" ref="G161:G177" si="38">E161/C161%</f>
        <v>100</v>
      </c>
      <c r="H161" s="38">
        <v>100</v>
      </c>
      <c r="I161" s="38">
        <v>100</v>
      </c>
      <c r="J161" s="29">
        <v>46469.594594594593</v>
      </c>
      <c r="K161" s="38">
        <v>27035</v>
      </c>
      <c r="L161" s="38">
        <v>27520</v>
      </c>
      <c r="M161" s="102">
        <f t="shared" ref="M161:M177" si="39">(L161-K161)/K161%</f>
        <v>1.793970778620307</v>
      </c>
      <c r="N161" s="102">
        <f t="shared" ref="N161:N177" si="40">L161/J161%</f>
        <v>59.221519447473646</v>
      </c>
      <c r="O161" s="38">
        <v>1557</v>
      </c>
      <c r="P161" s="38">
        <v>1583</v>
      </c>
      <c r="Q161" s="102">
        <f t="shared" ref="Q161:Q177" si="41">(P161-O161)/O161%</f>
        <v>1.6698779704560052</v>
      </c>
      <c r="R161" s="31" t="s">
        <v>5</v>
      </c>
      <c r="S161" s="1">
        <v>1</v>
      </c>
      <c r="W161" s="220">
        <f>I161-'[2]1.RSP Districts '!I160</f>
        <v>100</v>
      </c>
    </row>
    <row r="162" spans="1:23" s="6" customFormat="1" hidden="1" x14ac:dyDescent="0.25">
      <c r="A162" s="22">
        <v>1</v>
      </c>
      <c r="B162" s="23" t="s">
        <v>166</v>
      </c>
      <c r="C162" s="24">
        <v>19</v>
      </c>
      <c r="D162" s="24">
        <v>10</v>
      </c>
      <c r="E162" s="24">
        <v>10</v>
      </c>
      <c r="F162" s="102">
        <f t="shared" si="37"/>
        <v>0</v>
      </c>
      <c r="G162" s="102">
        <f t="shared" si="38"/>
        <v>52.631578947368418</v>
      </c>
      <c r="H162" s="24">
        <v>52.631578947368418</v>
      </c>
      <c r="I162" s="24">
        <v>52.631578947368418</v>
      </c>
      <c r="J162" s="24">
        <v>46469.594594594593</v>
      </c>
      <c r="K162" s="24">
        <v>672</v>
      </c>
      <c r="L162" s="24">
        <f>K162</f>
        <v>672</v>
      </c>
      <c r="M162" s="102">
        <f t="shared" si="39"/>
        <v>0</v>
      </c>
      <c r="N162" s="102">
        <f t="shared" si="40"/>
        <v>1.4461068702290076</v>
      </c>
      <c r="O162" s="24">
        <v>32</v>
      </c>
      <c r="P162" s="24">
        <f>O162</f>
        <v>32</v>
      </c>
      <c r="Q162" s="102">
        <f t="shared" si="41"/>
        <v>0</v>
      </c>
      <c r="R162" s="31" t="s">
        <v>1</v>
      </c>
      <c r="S162" s="1">
        <v>1</v>
      </c>
    </row>
    <row r="163" spans="1:23" s="6" customFormat="1" hidden="1" x14ac:dyDescent="0.25">
      <c r="A163" s="22">
        <v>2</v>
      </c>
      <c r="B163" s="23" t="s">
        <v>165</v>
      </c>
      <c r="C163" s="24">
        <v>13</v>
      </c>
      <c r="D163" s="38">
        <v>5</v>
      </c>
      <c r="E163" s="38">
        <v>5</v>
      </c>
      <c r="F163" s="102">
        <f t="shared" si="37"/>
        <v>0</v>
      </c>
      <c r="G163" s="102">
        <f t="shared" si="38"/>
        <v>38.46153846153846</v>
      </c>
      <c r="H163" s="38">
        <v>38.46153846153846</v>
      </c>
      <c r="I163" s="38">
        <v>38.46153846153846</v>
      </c>
      <c r="J163" s="29">
        <v>21296</v>
      </c>
      <c r="K163" s="38">
        <v>12914</v>
      </c>
      <c r="L163" s="38">
        <v>12914</v>
      </c>
      <c r="M163" s="102">
        <f t="shared" si="39"/>
        <v>0</v>
      </c>
      <c r="N163" s="102">
        <f t="shared" si="40"/>
        <v>60.640495867768593</v>
      </c>
      <c r="O163" s="38">
        <v>593</v>
      </c>
      <c r="P163" s="38">
        <v>593</v>
      </c>
      <c r="Q163" s="102">
        <f t="shared" si="41"/>
        <v>0</v>
      </c>
      <c r="R163" s="31" t="s">
        <v>5</v>
      </c>
      <c r="S163" s="1">
        <v>1</v>
      </c>
      <c r="W163" s="220">
        <f>I163-'[2]1.RSP Districts '!I162</f>
        <v>38.46153846153846</v>
      </c>
    </row>
    <row r="164" spans="1:23" s="6" customFormat="1" hidden="1" x14ac:dyDescent="0.25">
      <c r="A164" s="22">
        <v>2</v>
      </c>
      <c r="B164" s="23" t="s">
        <v>167</v>
      </c>
      <c r="C164" s="24">
        <v>13</v>
      </c>
      <c r="D164" s="24">
        <v>10</v>
      </c>
      <c r="E164" s="24">
        <v>10</v>
      </c>
      <c r="F164" s="102">
        <f t="shared" si="37"/>
        <v>0</v>
      </c>
      <c r="G164" s="102">
        <f t="shared" si="38"/>
        <v>76.92307692307692</v>
      </c>
      <c r="H164" s="24">
        <v>76.92307692307692</v>
      </c>
      <c r="I164" s="24">
        <v>76.92307692307692</v>
      </c>
      <c r="J164" s="24">
        <v>21296</v>
      </c>
      <c r="K164" s="24">
        <v>16770</v>
      </c>
      <c r="L164" s="24">
        <f>K164</f>
        <v>16770</v>
      </c>
      <c r="M164" s="102">
        <f t="shared" si="39"/>
        <v>0</v>
      </c>
      <c r="N164" s="102">
        <f t="shared" si="40"/>
        <v>78.747182569496616</v>
      </c>
      <c r="O164" s="24">
        <v>827</v>
      </c>
      <c r="P164" s="24">
        <f>O164</f>
        <v>827</v>
      </c>
      <c r="Q164" s="102">
        <f t="shared" si="41"/>
        <v>0</v>
      </c>
      <c r="R164" s="31" t="s">
        <v>1</v>
      </c>
      <c r="S164" s="1">
        <v>1</v>
      </c>
    </row>
    <row r="165" spans="1:23" s="6" customFormat="1" hidden="1" x14ac:dyDescent="0.25">
      <c r="A165" s="22">
        <v>3</v>
      </c>
      <c r="B165" s="23" t="s">
        <v>142</v>
      </c>
      <c r="C165" s="24">
        <v>38</v>
      </c>
      <c r="D165" s="38">
        <v>33</v>
      </c>
      <c r="E165" s="38">
        <v>33</v>
      </c>
      <c r="F165" s="102">
        <f t="shared" si="37"/>
        <v>0</v>
      </c>
      <c r="G165" s="102">
        <f t="shared" si="38"/>
        <v>86.84210526315789</v>
      </c>
      <c r="H165" s="38">
        <v>86.84210526315789</v>
      </c>
      <c r="I165" s="38">
        <v>86.84210526315789</v>
      </c>
      <c r="J165" s="29">
        <v>67482.876712328754</v>
      </c>
      <c r="K165" s="38">
        <v>42419</v>
      </c>
      <c r="L165" s="38">
        <v>42685</v>
      </c>
      <c r="M165" s="102">
        <f t="shared" si="39"/>
        <v>0.62707748886112358</v>
      </c>
      <c r="N165" s="102">
        <f t="shared" si="40"/>
        <v>63.253082973864515</v>
      </c>
      <c r="O165" s="38">
        <v>2402</v>
      </c>
      <c r="P165" s="38">
        <v>2419</v>
      </c>
      <c r="Q165" s="102">
        <f t="shared" si="41"/>
        <v>0.70774354704412989</v>
      </c>
      <c r="R165" s="31" t="s">
        <v>5</v>
      </c>
      <c r="S165" s="1">
        <v>1</v>
      </c>
      <c r="W165" s="220">
        <f>I165-'[2]1.RSP Districts '!I164</f>
        <v>86.84210526315789</v>
      </c>
    </row>
    <row r="166" spans="1:23" s="6" customFormat="1" hidden="1" x14ac:dyDescent="0.25">
      <c r="A166" s="22">
        <v>3</v>
      </c>
      <c r="B166" s="23" t="s">
        <v>143</v>
      </c>
      <c r="C166" s="24">
        <v>38</v>
      </c>
      <c r="D166" s="24">
        <v>36</v>
      </c>
      <c r="E166" s="24">
        <v>36</v>
      </c>
      <c r="F166" s="102">
        <f t="shared" si="37"/>
        <v>0</v>
      </c>
      <c r="G166" s="102">
        <f t="shared" si="38"/>
        <v>94.73684210526315</v>
      </c>
      <c r="H166" s="24">
        <v>94.73684210526315</v>
      </c>
      <c r="I166" s="24">
        <v>94.73684210526315</v>
      </c>
      <c r="J166" s="24">
        <v>67482.876712328754</v>
      </c>
      <c r="K166" s="24">
        <v>13807</v>
      </c>
      <c r="L166" s="24">
        <f>K166</f>
        <v>13807</v>
      </c>
      <c r="M166" s="102">
        <f t="shared" si="39"/>
        <v>0</v>
      </c>
      <c r="N166" s="102">
        <f t="shared" si="40"/>
        <v>20.460005074854102</v>
      </c>
      <c r="O166" s="24">
        <v>566</v>
      </c>
      <c r="P166" s="24">
        <f>O166</f>
        <v>566</v>
      </c>
      <c r="Q166" s="102">
        <f t="shared" si="41"/>
        <v>0</v>
      </c>
      <c r="R166" s="31" t="s">
        <v>1</v>
      </c>
      <c r="S166" s="1">
        <v>1</v>
      </c>
    </row>
    <row r="167" spans="1:23" s="6" customFormat="1" hidden="1" x14ac:dyDescent="0.25">
      <c r="A167" s="22">
        <v>4</v>
      </c>
      <c r="B167" s="23" t="s">
        <v>280</v>
      </c>
      <c r="C167" s="24">
        <v>32</v>
      </c>
      <c r="D167" s="38">
        <v>18</v>
      </c>
      <c r="E167" s="38">
        <v>18</v>
      </c>
      <c r="F167" s="102">
        <f t="shared" si="37"/>
        <v>0</v>
      </c>
      <c r="G167" s="102">
        <f t="shared" si="38"/>
        <v>56.25</v>
      </c>
      <c r="H167" s="38">
        <v>56.25</v>
      </c>
      <c r="I167" s="38">
        <v>56.25</v>
      </c>
      <c r="J167" s="24">
        <v>60712</v>
      </c>
      <c r="K167" s="38">
        <v>21451</v>
      </c>
      <c r="L167" s="38">
        <v>21451</v>
      </c>
      <c r="M167" s="102">
        <f t="shared" si="39"/>
        <v>0</v>
      </c>
      <c r="N167" s="102">
        <f t="shared" si="40"/>
        <v>35.332388984055868</v>
      </c>
      <c r="O167" s="38">
        <v>992</v>
      </c>
      <c r="P167" s="38">
        <v>992</v>
      </c>
      <c r="Q167" s="102">
        <f t="shared" si="41"/>
        <v>0</v>
      </c>
      <c r="R167" s="31" t="s">
        <v>5</v>
      </c>
      <c r="S167" s="1">
        <v>1</v>
      </c>
      <c r="W167" s="220">
        <f>I167-'[2]1.RSP Districts '!I166</f>
        <v>56.25</v>
      </c>
    </row>
    <row r="168" spans="1:23" s="6" customFormat="1" hidden="1" x14ac:dyDescent="0.25">
      <c r="A168" s="22">
        <v>4</v>
      </c>
      <c r="B168" s="23" t="s">
        <v>281</v>
      </c>
      <c r="C168" s="24">
        <v>32</v>
      </c>
      <c r="D168" s="24">
        <v>26</v>
      </c>
      <c r="E168" s="24">
        <v>26</v>
      </c>
      <c r="F168" s="102">
        <f t="shared" si="37"/>
        <v>0</v>
      </c>
      <c r="G168" s="102">
        <f t="shared" si="38"/>
        <v>81.25</v>
      </c>
      <c r="H168" s="24">
        <v>81.25</v>
      </c>
      <c r="I168" s="24">
        <v>81.25</v>
      </c>
      <c r="J168" s="24">
        <v>60712</v>
      </c>
      <c r="K168" s="24">
        <v>45689</v>
      </c>
      <c r="L168" s="24">
        <f>K168</f>
        <v>45689</v>
      </c>
      <c r="M168" s="102">
        <f t="shared" si="39"/>
        <v>0</v>
      </c>
      <c r="N168" s="102">
        <f t="shared" si="40"/>
        <v>75.255303729081561</v>
      </c>
      <c r="O168" s="24">
        <v>2192</v>
      </c>
      <c r="P168" s="24">
        <f>O168</f>
        <v>2192</v>
      </c>
      <c r="Q168" s="102">
        <f t="shared" si="41"/>
        <v>0</v>
      </c>
      <c r="R168" s="31" t="s">
        <v>1</v>
      </c>
      <c r="S168" s="1">
        <v>1</v>
      </c>
    </row>
    <row r="169" spans="1:23" s="6" customFormat="1" hidden="1" x14ac:dyDescent="0.25">
      <c r="A169" s="22">
        <v>5</v>
      </c>
      <c r="B169" s="23" t="s">
        <v>144</v>
      </c>
      <c r="C169" s="24">
        <v>9</v>
      </c>
      <c r="D169" s="38">
        <v>9</v>
      </c>
      <c r="E169" s="38">
        <v>9</v>
      </c>
      <c r="F169" s="102">
        <f t="shared" si="37"/>
        <v>0</v>
      </c>
      <c r="G169" s="102">
        <f t="shared" si="38"/>
        <v>100</v>
      </c>
      <c r="H169" s="38">
        <v>100</v>
      </c>
      <c r="I169" s="38">
        <v>100</v>
      </c>
      <c r="J169" s="24">
        <v>15648.786335031467</v>
      </c>
      <c r="K169" s="38">
        <v>7213</v>
      </c>
      <c r="L169" s="38">
        <v>7213</v>
      </c>
      <c r="M169" s="102">
        <f t="shared" si="39"/>
        <v>0</v>
      </c>
      <c r="N169" s="102">
        <f t="shared" si="40"/>
        <v>46.093031405591717</v>
      </c>
      <c r="O169" s="38">
        <v>331</v>
      </c>
      <c r="P169" s="38">
        <v>331</v>
      </c>
      <c r="Q169" s="102">
        <f t="shared" si="41"/>
        <v>0</v>
      </c>
      <c r="R169" s="31" t="s">
        <v>5</v>
      </c>
      <c r="S169" s="1">
        <v>1</v>
      </c>
      <c r="W169" s="220">
        <f>I169-'[2]1.RSP Districts '!I168</f>
        <v>100</v>
      </c>
    </row>
    <row r="170" spans="1:23" s="6" customFormat="1" hidden="1" x14ac:dyDescent="0.25">
      <c r="A170" s="22">
        <v>5</v>
      </c>
      <c r="B170" s="23" t="s">
        <v>145</v>
      </c>
      <c r="C170" s="24">
        <v>9</v>
      </c>
      <c r="D170" s="24">
        <v>9</v>
      </c>
      <c r="E170" s="24">
        <v>9</v>
      </c>
      <c r="F170" s="102">
        <f t="shared" si="37"/>
        <v>0</v>
      </c>
      <c r="G170" s="102">
        <f t="shared" si="38"/>
        <v>100</v>
      </c>
      <c r="H170" s="24">
        <v>100</v>
      </c>
      <c r="I170" s="24">
        <v>100</v>
      </c>
      <c r="J170" s="24">
        <v>15648.786335031467</v>
      </c>
      <c r="K170" s="24">
        <v>6722</v>
      </c>
      <c r="L170" s="24">
        <f>K170</f>
        <v>6722</v>
      </c>
      <c r="M170" s="102">
        <f t="shared" si="39"/>
        <v>0</v>
      </c>
      <c r="N170" s="102">
        <f t="shared" si="40"/>
        <v>42.955407889697426</v>
      </c>
      <c r="O170" s="24">
        <v>267</v>
      </c>
      <c r="P170" s="24">
        <f>O170</f>
        <v>267</v>
      </c>
      <c r="Q170" s="102">
        <f t="shared" si="41"/>
        <v>0</v>
      </c>
      <c r="R170" s="31" t="s">
        <v>1</v>
      </c>
      <c r="S170" s="1">
        <v>1</v>
      </c>
    </row>
    <row r="171" spans="1:23" s="6" customFormat="1" hidden="1" x14ac:dyDescent="0.25">
      <c r="A171" s="22">
        <v>6</v>
      </c>
      <c r="B171" s="23" t="s">
        <v>146</v>
      </c>
      <c r="C171" s="24">
        <v>25</v>
      </c>
      <c r="D171" s="38">
        <v>26</v>
      </c>
      <c r="E171" s="38">
        <v>26</v>
      </c>
      <c r="F171" s="102">
        <f t="shared" si="37"/>
        <v>0</v>
      </c>
      <c r="G171" s="102">
        <f t="shared" si="38"/>
        <v>104</v>
      </c>
      <c r="H171" s="38">
        <v>104</v>
      </c>
      <c r="I171" s="38">
        <v>104</v>
      </c>
      <c r="J171" s="29">
        <v>47319.07894736842</v>
      </c>
      <c r="K171" s="38">
        <v>43833</v>
      </c>
      <c r="L171" s="38">
        <v>46403</v>
      </c>
      <c r="M171" s="102">
        <f t="shared" si="39"/>
        <v>5.8631624575091825</v>
      </c>
      <c r="N171" s="102">
        <f t="shared" si="40"/>
        <v>98.064038929440386</v>
      </c>
      <c r="O171" s="38">
        <v>2305</v>
      </c>
      <c r="P171" s="38">
        <v>2467</v>
      </c>
      <c r="Q171" s="102">
        <f t="shared" si="41"/>
        <v>7.0281995661605201</v>
      </c>
      <c r="R171" s="31" t="s">
        <v>5</v>
      </c>
      <c r="S171" s="1">
        <v>1</v>
      </c>
      <c r="W171" s="220">
        <f>I171-'[2]1.RSP Districts '!I170</f>
        <v>104</v>
      </c>
    </row>
    <row r="172" spans="1:23" s="130" customFormat="1" hidden="1" x14ac:dyDescent="0.25">
      <c r="A172" s="22">
        <v>6</v>
      </c>
      <c r="B172" s="23" t="s">
        <v>282</v>
      </c>
      <c r="C172" s="24">
        <v>25</v>
      </c>
      <c r="D172" s="24">
        <v>12</v>
      </c>
      <c r="E172" s="24">
        <v>12</v>
      </c>
      <c r="F172" s="102">
        <f t="shared" si="37"/>
        <v>0</v>
      </c>
      <c r="G172" s="102">
        <f t="shared" si="38"/>
        <v>48</v>
      </c>
      <c r="H172" s="24">
        <v>48</v>
      </c>
      <c r="I172" s="24">
        <v>48</v>
      </c>
      <c r="J172" s="29">
        <v>47319.07894736842</v>
      </c>
      <c r="K172" s="24">
        <v>4523</v>
      </c>
      <c r="L172" s="24">
        <f>K172</f>
        <v>4523</v>
      </c>
      <c r="M172" s="102">
        <f t="shared" si="39"/>
        <v>0</v>
      </c>
      <c r="N172" s="102">
        <f t="shared" si="40"/>
        <v>9.5585123392422666</v>
      </c>
      <c r="O172" s="24">
        <v>260</v>
      </c>
      <c r="P172" s="24">
        <f>O172</f>
        <v>260</v>
      </c>
      <c r="Q172" s="102">
        <f t="shared" si="41"/>
        <v>0</v>
      </c>
      <c r="R172" s="31" t="s">
        <v>1</v>
      </c>
      <c r="S172" s="1">
        <v>1</v>
      </c>
    </row>
    <row r="173" spans="1:23" s="6" customFormat="1" hidden="1" x14ac:dyDescent="0.25">
      <c r="A173" s="22">
        <v>7</v>
      </c>
      <c r="B173" s="23" t="s">
        <v>147</v>
      </c>
      <c r="C173" s="24">
        <v>18</v>
      </c>
      <c r="D173" s="24">
        <v>18</v>
      </c>
      <c r="E173" s="24">
        <v>18</v>
      </c>
      <c r="F173" s="102">
        <f t="shared" si="37"/>
        <v>0</v>
      </c>
      <c r="G173" s="102">
        <f t="shared" si="38"/>
        <v>100</v>
      </c>
      <c r="H173" s="24">
        <v>100</v>
      </c>
      <c r="I173" s="24">
        <v>100</v>
      </c>
      <c r="J173" s="24">
        <v>54333</v>
      </c>
      <c r="K173" s="24">
        <v>5541</v>
      </c>
      <c r="L173" s="24">
        <f>K173</f>
        <v>5541</v>
      </c>
      <c r="M173" s="102">
        <f t="shared" si="39"/>
        <v>0</v>
      </c>
      <c r="N173" s="102">
        <f t="shared" si="40"/>
        <v>10.198222074982054</v>
      </c>
      <c r="O173" s="24">
        <v>227</v>
      </c>
      <c r="P173" s="24">
        <f>O173</f>
        <v>227</v>
      </c>
      <c r="Q173" s="102">
        <f t="shared" si="41"/>
        <v>0</v>
      </c>
      <c r="R173" s="31" t="s">
        <v>1</v>
      </c>
      <c r="S173" s="1">
        <v>1</v>
      </c>
    </row>
    <row r="174" spans="1:23" s="6" customFormat="1" hidden="1" x14ac:dyDescent="0.25">
      <c r="A174" s="22">
        <v>8</v>
      </c>
      <c r="B174" s="23" t="s">
        <v>148</v>
      </c>
      <c r="C174" s="24">
        <v>12</v>
      </c>
      <c r="D174" s="38">
        <v>13</v>
      </c>
      <c r="E174" s="38">
        <v>13</v>
      </c>
      <c r="F174" s="102">
        <f t="shared" si="37"/>
        <v>0</v>
      </c>
      <c r="G174" s="102">
        <f t="shared" si="38"/>
        <v>108.33333333333334</v>
      </c>
      <c r="H174" s="38">
        <v>108.33333333333334</v>
      </c>
      <c r="I174" s="38">
        <v>108.33333333333334</v>
      </c>
      <c r="J174" s="29">
        <v>26849.31506849315</v>
      </c>
      <c r="K174" s="38">
        <v>15186</v>
      </c>
      <c r="L174" s="38">
        <v>15923</v>
      </c>
      <c r="M174" s="102">
        <f t="shared" si="39"/>
        <v>4.8531542209930194</v>
      </c>
      <c r="N174" s="102">
        <f t="shared" si="40"/>
        <v>59.305051020408165</v>
      </c>
      <c r="O174" s="38">
        <v>834</v>
      </c>
      <c r="P174" s="38">
        <v>882</v>
      </c>
      <c r="Q174" s="102">
        <f t="shared" si="41"/>
        <v>5.7553956834532372</v>
      </c>
      <c r="R174" s="31" t="s">
        <v>5</v>
      </c>
      <c r="S174" s="1">
        <v>1</v>
      </c>
      <c r="W174" s="220">
        <f>I174-'[2]1.RSP Districts '!I173</f>
        <v>108.33333333333334</v>
      </c>
    </row>
    <row r="175" spans="1:23" s="6" customFormat="1" hidden="1" x14ac:dyDescent="0.25">
      <c r="A175" s="22">
        <v>9</v>
      </c>
      <c r="B175" s="23" t="s">
        <v>149</v>
      </c>
      <c r="C175" s="24">
        <v>22</v>
      </c>
      <c r="D175" s="24">
        <v>15</v>
      </c>
      <c r="E175" s="24">
        <v>15</v>
      </c>
      <c r="F175" s="102">
        <f t="shared" si="37"/>
        <v>0</v>
      </c>
      <c r="G175" s="102">
        <f t="shared" si="38"/>
        <v>68.181818181818187</v>
      </c>
      <c r="H175" s="24">
        <v>68.181818181818187</v>
      </c>
      <c r="I175" s="24">
        <v>68.181818181818187</v>
      </c>
      <c r="J175" s="24">
        <v>40208</v>
      </c>
      <c r="K175" s="24">
        <v>8596</v>
      </c>
      <c r="L175" s="24">
        <f>K175</f>
        <v>8596</v>
      </c>
      <c r="M175" s="102">
        <f t="shared" si="39"/>
        <v>0</v>
      </c>
      <c r="N175" s="102">
        <f t="shared" si="40"/>
        <v>21.378830083565461</v>
      </c>
      <c r="O175" s="24">
        <v>379</v>
      </c>
      <c r="P175" s="24">
        <f>O175</f>
        <v>379</v>
      </c>
      <c r="Q175" s="102">
        <f t="shared" si="41"/>
        <v>0</v>
      </c>
      <c r="R175" s="31" t="s">
        <v>1</v>
      </c>
      <c r="S175" s="1">
        <v>1</v>
      </c>
    </row>
    <row r="176" spans="1:23" s="6" customFormat="1" hidden="1" x14ac:dyDescent="0.25">
      <c r="A176" s="36">
        <v>10</v>
      </c>
      <c r="B176" s="37" t="s">
        <v>164</v>
      </c>
      <c r="C176" s="38">
        <v>8</v>
      </c>
      <c r="D176" s="38">
        <v>8</v>
      </c>
      <c r="E176" s="38">
        <v>8</v>
      </c>
      <c r="F176" s="134">
        <f t="shared" si="37"/>
        <v>0</v>
      </c>
      <c r="G176" s="134">
        <f t="shared" si="38"/>
        <v>100</v>
      </c>
      <c r="H176" s="38">
        <v>100</v>
      </c>
      <c r="I176" s="38">
        <v>100</v>
      </c>
      <c r="J176" s="39">
        <v>18651</v>
      </c>
      <c r="K176" s="38">
        <v>12296</v>
      </c>
      <c r="L176" s="38">
        <v>12968</v>
      </c>
      <c r="M176" s="134">
        <f t="shared" si="39"/>
        <v>5.4651919323357196</v>
      </c>
      <c r="N176" s="134">
        <f t="shared" si="40"/>
        <v>69.529783925794874</v>
      </c>
      <c r="O176" s="38">
        <v>792</v>
      </c>
      <c r="P176" s="38">
        <v>841</v>
      </c>
      <c r="Q176" s="134">
        <f t="shared" si="41"/>
        <v>6.1868686868686869</v>
      </c>
      <c r="R176" s="41" t="s">
        <v>5</v>
      </c>
      <c r="S176" s="1">
        <v>1</v>
      </c>
      <c r="W176" s="220">
        <f>I176-'[2]1.RSP Districts '!I175</f>
        <v>100</v>
      </c>
    </row>
    <row r="177" spans="1:21" s="4" customFormat="1" ht="14.4" hidden="1" thickBot="1" x14ac:dyDescent="0.3">
      <c r="A177" s="148">
        <f>COUNTIF(R161:R176,"*")-6</f>
        <v>10</v>
      </c>
      <c r="B177" s="147" t="s">
        <v>33</v>
      </c>
      <c r="C177" s="56">
        <f>(C161+C163+C165+C167+C169+C171+C173+C174+C175+C176)</f>
        <v>196</v>
      </c>
      <c r="D177" s="56">
        <f>(D161+D164+D166+D168+D170+D171+D173+D174+D175+D176)</f>
        <v>180</v>
      </c>
      <c r="E177" s="56">
        <f>(E161+E164+E166+E168+E170+E171+E173+E174+E175+E176)</f>
        <v>180</v>
      </c>
      <c r="F177" s="149">
        <f t="shared" si="37"/>
        <v>0</v>
      </c>
      <c r="G177" s="149">
        <f t="shared" si="38"/>
        <v>91.83673469387756</v>
      </c>
      <c r="H177" s="56">
        <f>SUM(H161:H176)</f>
        <v>1315.6102932155563</v>
      </c>
      <c r="I177" s="56">
        <f>SUM(I161:I176)</f>
        <v>1315.6102932155563</v>
      </c>
      <c r="J177" s="56">
        <f>(J161+J163+J165+J167+J169+J171+J173+J174+J175+J176)</f>
        <v>398969.65165781637</v>
      </c>
      <c r="K177" s="56">
        <f>SUM(K161:K176)</f>
        <v>284667</v>
      </c>
      <c r="L177" s="56">
        <f>SUM(L161:L176)</f>
        <v>289397</v>
      </c>
      <c r="M177" s="149">
        <f t="shared" si="39"/>
        <v>1.6615905601984071</v>
      </c>
      <c r="N177" s="149">
        <f t="shared" si="40"/>
        <v>72.536093609497556</v>
      </c>
      <c r="O177" s="56">
        <f>SUM(O161:O176)</f>
        <v>14556</v>
      </c>
      <c r="P177" s="56">
        <f>SUM(P161:P176)</f>
        <v>14858</v>
      </c>
      <c r="Q177" s="149">
        <f t="shared" si="41"/>
        <v>2.0747458092882658</v>
      </c>
      <c r="R177" s="151"/>
      <c r="S177" s="1">
        <v>1</v>
      </c>
    </row>
    <row r="178" spans="1:21" ht="13.5" hidden="1" customHeight="1" thickBot="1" x14ac:dyDescent="0.35">
      <c r="A178" s="34"/>
      <c r="B178" s="35"/>
      <c r="C178" s="27"/>
      <c r="D178" s="27"/>
      <c r="E178" s="27"/>
      <c r="F178" s="103"/>
      <c r="G178" s="103"/>
      <c r="H178" s="103"/>
      <c r="I178" s="103"/>
      <c r="J178" s="27"/>
      <c r="K178" s="27"/>
      <c r="L178" s="27"/>
      <c r="M178" s="27"/>
      <c r="N178" s="27"/>
      <c r="O178" s="27"/>
      <c r="P178" s="27"/>
      <c r="Q178" s="27"/>
      <c r="R178" s="14"/>
      <c r="S178" s="1">
        <v>1</v>
      </c>
    </row>
    <row r="179" spans="1:21" s="5" customFormat="1" hidden="1" x14ac:dyDescent="0.25">
      <c r="A179" s="17" t="s">
        <v>150</v>
      </c>
      <c r="B179" s="18"/>
      <c r="C179" s="19"/>
      <c r="D179" s="28"/>
      <c r="E179" s="28"/>
      <c r="F179" s="104"/>
      <c r="G179" s="104"/>
      <c r="H179" s="104"/>
      <c r="I179" s="104"/>
      <c r="J179" s="19"/>
      <c r="K179" s="28"/>
      <c r="L179" s="28"/>
      <c r="M179" s="28"/>
      <c r="N179" s="28"/>
      <c r="O179" s="28"/>
      <c r="P179" s="28"/>
      <c r="Q179" s="28"/>
      <c r="R179" s="21"/>
      <c r="S179" s="1">
        <v>1</v>
      </c>
    </row>
    <row r="180" spans="1:21" s="6" customFormat="1" hidden="1" x14ac:dyDescent="0.25">
      <c r="A180" s="22">
        <v>1</v>
      </c>
      <c r="B180" s="23" t="s">
        <v>151</v>
      </c>
      <c r="C180" s="24">
        <v>8</v>
      </c>
      <c r="D180" s="24">
        <v>8</v>
      </c>
      <c r="E180" s="24">
        <v>8</v>
      </c>
      <c r="F180" s="102">
        <f t="shared" ref="F180:F187" si="42">(E180-D180)/D180%</f>
        <v>0</v>
      </c>
      <c r="G180" s="102">
        <f t="shared" ref="G180:G187" si="43">E180/C180%</f>
        <v>100</v>
      </c>
      <c r="H180" s="29">
        <v>44</v>
      </c>
      <c r="I180" s="24">
        <v>44</v>
      </c>
      <c r="J180" s="29">
        <v>10999.903096902348</v>
      </c>
      <c r="K180" s="24">
        <v>6444</v>
      </c>
      <c r="L180" s="24">
        <v>6444</v>
      </c>
      <c r="M180" s="102">
        <f t="shared" ref="M180:M187" si="44">(L180-K180)/K180%</f>
        <v>0</v>
      </c>
      <c r="N180" s="102">
        <f t="shared" ref="N180:N187" si="45">L180/J180%</f>
        <v>58.582334255423369</v>
      </c>
      <c r="O180" s="24">
        <v>333</v>
      </c>
      <c r="P180" s="24">
        <v>333</v>
      </c>
      <c r="Q180" s="102">
        <f t="shared" ref="Q180:Q187" si="46">(P180-O180)/O180%</f>
        <v>0</v>
      </c>
      <c r="R180" s="31" t="s">
        <v>2</v>
      </c>
      <c r="S180" s="1">
        <v>1</v>
      </c>
    </row>
    <row r="181" spans="1:21" s="6" customFormat="1" hidden="1" x14ac:dyDescent="0.25">
      <c r="A181" s="22">
        <v>2</v>
      </c>
      <c r="B181" s="23" t="s">
        <v>193</v>
      </c>
      <c r="C181" s="24">
        <v>9</v>
      </c>
      <c r="D181" s="24"/>
      <c r="E181" s="24">
        <v>0</v>
      </c>
      <c r="F181" s="102">
        <v>0</v>
      </c>
      <c r="G181" s="102">
        <f t="shared" si="43"/>
        <v>0</v>
      </c>
      <c r="H181" s="29"/>
      <c r="I181" s="24">
        <v>0</v>
      </c>
      <c r="J181" s="29">
        <v>0</v>
      </c>
      <c r="K181" s="24"/>
      <c r="L181" s="24">
        <v>0</v>
      </c>
      <c r="M181" s="102">
        <v>0</v>
      </c>
      <c r="N181" s="102">
        <v>0</v>
      </c>
      <c r="O181" s="24"/>
      <c r="P181" s="24">
        <v>0</v>
      </c>
      <c r="Q181" s="102">
        <v>0</v>
      </c>
      <c r="R181" s="79">
        <v>0</v>
      </c>
      <c r="S181" s="1">
        <v>1</v>
      </c>
    </row>
    <row r="182" spans="1:21" s="6" customFormat="1" hidden="1" x14ac:dyDescent="0.25">
      <c r="A182" s="22">
        <v>3</v>
      </c>
      <c r="B182" s="23" t="s">
        <v>152</v>
      </c>
      <c r="C182" s="24">
        <v>14</v>
      </c>
      <c r="D182" s="24">
        <v>14</v>
      </c>
      <c r="E182" s="24">
        <v>14</v>
      </c>
      <c r="F182" s="102">
        <f t="shared" si="42"/>
        <v>0</v>
      </c>
      <c r="G182" s="102">
        <f t="shared" si="43"/>
        <v>99.999999999999986</v>
      </c>
      <c r="H182" s="29">
        <v>56</v>
      </c>
      <c r="I182" s="24">
        <v>56</v>
      </c>
      <c r="J182" s="29">
        <v>18452.493081471035</v>
      </c>
      <c r="K182" s="24">
        <v>10401</v>
      </c>
      <c r="L182" s="24">
        <v>10401</v>
      </c>
      <c r="M182" s="102">
        <f t="shared" si="44"/>
        <v>0</v>
      </c>
      <c r="N182" s="102">
        <f t="shared" si="45"/>
        <v>56.366367157422779</v>
      </c>
      <c r="O182" s="24">
        <v>469</v>
      </c>
      <c r="P182" s="24">
        <v>469</v>
      </c>
      <c r="Q182" s="102">
        <f t="shared" si="46"/>
        <v>0</v>
      </c>
      <c r="R182" s="31" t="s">
        <v>2</v>
      </c>
      <c r="S182" s="1">
        <v>1</v>
      </c>
    </row>
    <row r="183" spans="1:21" s="6" customFormat="1" hidden="1" x14ac:dyDescent="0.25">
      <c r="A183" s="22">
        <v>4</v>
      </c>
      <c r="B183" s="23" t="s">
        <v>153</v>
      </c>
      <c r="C183" s="24">
        <v>16</v>
      </c>
      <c r="D183" s="24">
        <v>16</v>
      </c>
      <c r="E183" s="24">
        <v>16</v>
      </c>
      <c r="F183" s="102">
        <f t="shared" si="42"/>
        <v>0</v>
      </c>
      <c r="G183" s="102">
        <f t="shared" si="43"/>
        <v>100</v>
      </c>
      <c r="H183" s="29">
        <v>80</v>
      </c>
      <c r="I183" s="24">
        <v>80</v>
      </c>
      <c r="J183" s="29">
        <v>13563.115170309828</v>
      </c>
      <c r="K183" s="24">
        <v>12420</v>
      </c>
      <c r="L183" s="24">
        <v>12420</v>
      </c>
      <c r="M183" s="102">
        <f t="shared" si="44"/>
        <v>0</v>
      </c>
      <c r="N183" s="102">
        <f t="shared" si="45"/>
        <v>91.571883332435675</v>
      </c>
      <c r="O183" s="24">
        <v>548</v>
      </c>
      <c r="P183" s="24">
        <v>548</v>
      </c>
      <c r="Q183" s="102">
        <f t="shared" si="46"/>
        <v>0</v>
      </c>
      <c r="R183" s="31" t="s">
        <v>2</v>
      </c>
      <c r="S183" s="1">
        <v>1</v>
      </c>
    </row>
    <row r="184" spans="1:21" s="6" customFormat="1" hidden="1" x14ac:dyDescent="0.25">
      <c r="A184" s="22">
        <v>5</v>
      </c>
      <c r="B184" s="23" t="s">
        <v>154</v>
      </c>
      <c r="C184" s="24">
        <v>10</v>
      </c>
      <c r="D184" s="24">
        <v>10</v>
      </c>
      <c r="E184" s="24">
        <v>10</v>
      </c>
      <c r="F184" s="102">
        <f t="shared" si="42"/>
        <v>0</v>
      </c>
      <c r="G184" s="102">
        <f t="shared" si="43"/>
        <v>100</v>
      </c>
      <c r="H184" s="29">
        <v>56</v>
      </c>
      <c r="I184" s="24">
        <v>56</v>
      </c>
      <c r="J184" s="29">
        <v>17721</v>
      </c>
      <c r="K184" s="24">
        <v>10924</v>
      </c>
      <c r="L184" s="24">
        <v>10924</v>
      </c>
      <c r="M184" s="102">
        <f t="shared" si="44"/>
        <v>0</v>
      </c>
      <c r="N184" s="102">
        <f t="shared" si="45"/>
        <v>61.644376728175608</v>
      </c>
      <c r="O184" s="24">
        <v>434</v>
      </c>
      <c r="P184" s="24">
        <v>434</v>
      </c>
      <c r="Q184" s="102">
        <f t="shared" si="46"/>
        <v>0</v>
      </c>
      <c r="R184" s="31" t="s">
        <v>2</v>
      </c>
      <c r="S184" s="1">
        <v>1</v>
      </c>
    </row>
    <row r="185" spans="1:21" s="6" customFormat="1" hidden="1" x14ac:dyDescent="0.25">
      <c r="A185" s="22">
        <v>6</v>
      </c>
      <c r="B185" s="23" t="s">
        <v>155</v>
      </c>
      <c r="C185" s="24">
        <v>15</v>
      </c>
      <c r="D185" s="24">
        <v>15</v>
      </c>
      <c r="E185" s="24">
        <v>15</v>
      </c>
      <c r="F185" s="102">
        <f t="shared" si="42"/>
        <v>0</v>
      </c>
      <c r="G185" s="102">
        <f t="shared" si="43"/>
        <v>100</v>
      </c>
      <c r="H185" s="29">
        <v>83</v>
      </c>
      <c r="I185" s="24">
        <v>83</v>
      </c>
      <c r="J185" s="29">
        <v>12779</v>
      </c>
      <c r="K185" s="24">
        <v>11965</v>
      </c>
      <c r="L185" s="24">
        <v>11965</v>
      </c>
      <c r="M185" s="102">
        <f t="shared" si="44"/>
        <v>0</v>
      </c>
      <c r="N185" s="102">
        <f t="shared" si="45"/>
        <v>93.630174505047336</v>
      </c>
      <c r="O185" s="24">
        <v>507</v>
      </c>
      <c r="P185" s="24">
        <v>507</v>
      </c>
      <c r="Q185" s="102">
        <f t="shared" si="46"/>
        <v>0</v>
      </c>
      <c r="R185" s="31" t="s">
        <v>2</v>
      </c>
      <c r="S185" s="1">
        <v>1</v>
      </c>
    </row>
    <row r="186" spans="1:21" s="6" customFormat="1" hidden="1" x14ac:dyDescent="0.25">
      <c r="A186" s="36">
        <v>7</v>
      </c>
      <c r="B186" s="37" t="s">
        <v>156</v>
      </c>
      <c r="C186" s="38">
        <v>31</v>
      </c>
      <c r="D186" s="38">
        <v>31</v>
      </c>
      <c r="E186" s="24">
        <v>31</v>
      </c>
      <c r="F186" s="134">
        <f t="shared" si="42"/>
        <v>0</v>
      </c>
      <c r="G186" s="134">
        <f t="shared" si="43"/>
        <v>100</v>
      </c>
      <c r="H186" s="39">
        <v>167</v>
      </c>
      <c r="I186" s="24">
        <v>167</v>
      </c>
      <c r="J186" s="39">
        <v>35134.322614801174</v>
      </c>
      <c r="K186" s="38">
        <v>23627</v>
      </c>
      <c r="L186" s="24">
        <v>23627</v>
      </c>
      <c r="M186" s="134">
        <f t="shared" si="44"/>
        <v>0</v>
      </c>
      <c r="N186" s="134">
        <f t="shared" si="45"/>
        <v>67.247632063487004</v>
      </c>
      <c r="O186" s="38">
        <v>1093</v>
      </c>
      <c r="P186" s="24">
        <v>1093</v>
      </c>
      <c r="Q186" s="134">
        <f t="shared" si="46"/>
        <v>0</v>
      </c>
      <c r="R186" s="41" t="s">
        <v>2</v>
      </c>
      <c r="S186" s="1">
        <v>1</v>
      </c>
    </row>
    <row r="187" spans="1:21" s="4" customFormat="1" ht="14.4" hidden="1" thickBot="1" x14ac:dyDescent="0.3">
      <c r="A187" s="148">
        <f>COUNTIF(R180:R186,"*")</f>
        <v>6</v>
      </c>
      <c r="B187" s="147" t="s">
        <v>33</v>
      </c>
      <c r="C187" s="56">
        <f>SUM(C180:C186)</f>
        <v>103</v>
      </c>
      <c r="D187" s="56">
        <f>SUM(D180:D186)</f>
        <v>94</v>
      </c>
      <c r="E187" s="56">
        <f>SUM(E180:E186)</f>
        <v>94</v>
      </c>
      <c r="F187" s="149">
        <f t="shared" si="42"/>
        <v>0</v>
      </c>
      <c r="G187" s="149">
        <f t="shared" si="43"/>
        <v>91.262135922330089</v>
      </c>
      <c r="H187" s="56">
        <f>SUM(H180:H186)</f>
        <v>486</v>
      </c>
      <c r="I187" s="56">
        <f>SUM(I180:I186)</f>
        <v>486</v>
      </c>
      <c r="J187" s="56">
        <f>SUM(J180:J186)</f>
        <v>108649.83396348439</v>
      </c>
      <c r="K187" s="56">
        <f>SUM(K180:K186)</f>
        <v>75781</v>
      </c>
      <c r="L187" s="56">
        <f>SUM(L180:L186)</f>
        <v>75781</v>
      </c>
      <c r="M187" s="149">
        <f t="shared" si="44"/>
        <v>0</v>
      </c>
      <c r="N187" s="149">
        <f t="shared" si="45"/>
        <v>69.747920669136846</v>
      </c>
      <c r="O187" s="56">
        <f>SUM(O180:O186)</f>
        <v>3384</v>
      </c>
      <c r="P187" s="56">
        <f>SUM(P180:P186)</f>
        <v>3384</v>
      </c>
      <c r="Q187" s="149">
        <f t="shared" si="46"/>
        <v>0</v>
      </c>
      <c r="R187" s="151"/>
      <c r="S187" s="1">
        <v>1</v>
      </c>
    </row>
    <row r="188" spans="1:21" s="4" customFormat="1" ht="10.5" hidden="1" customHeight="1" thickBot="1" x14ac:dyDescent="0.3">
      <c r="A188" s="42"/>
      <c r="B188" s="43"/>
      <c r="C188" s="44"/>
      <c r="D188" s="27"/>
      <c r="E188" s="27"/>
      <c r="F188" s="146"/>
      <c r="G188" s="105"/>
      <c r="H188" s="105"/>
      <c r="I188" s="105"/>
      <c r="J188" s="44"/>
      <c r="K188" s="45"/>
      <c r="L188" s="45"/>
      <c r="M188" s="45"/>
      <c r="N188" s="45"/>
      <c r="O188" s="45"/>
      <c r="P188" s="45"/>
      <c r="Q188" s="45"/>
      <c r="R188" s="46"/>
      <c r="S188" s="1">
        <v>1</v>
      </c>
    </row>
    <row r="189" spans="1:21" s="5" customFormat="1" hidden="1" x14ac:dyDescent="0.25">
      <c r="A189" s="17" t="s">
        <v>208</v>
      </c>
      <c r="B189" s="18"/>
      <c r="C189" s="19"/>
      <c r="D189" s="28"/>
      <c r="E189" s="28"/>
      <c r="F189" s="104"/>
      <c r="G189" s="104"/>
      <c r="H189" s="104"/>
      <c r="I189" s="104"/>
      <c r="J189" s="19"/>
      <c r="K189" s="28"/>
      <c r="L189" s="28"/>
      <c r="M189" s="28"/>
      <c r="N189" s="28"/>
      <c r="O189" s="28"/>
      <c r="P189" s="28"/>
      <c r="Q189" s="28"/>
      <c r="R189" s="21"/>
      <c r="S189" s="1">
        <v>1</v>
      </c>
    </row>
    <row r="190" spans="1:21" s="6" customFormat="1" x14ac:dyDescent="0.25">
      <c r="A190" s="92">
        <v>1</v>
      </c>
      <c r="B190" s="23" t="s">
        <v>192</v>
      </c>
      <c r="C190" s="57">
        <v>37</v>
      </c>
      <c r="D190" s="24">
        <v>3</v>
      </c>
      <c r="E190" s="24">
        <f>D190</f>
        <v>3</v>
      </c>
      <c r="F190" s="102">
        <v>0</v>
      </c>
      <c r="G190" s="102">
        <f t="shared" ref="G190:G203" si="47">E190/C190%</f>
        <v>8.1081081081081088</v>
      </c>
      <c r="H190" s="24">
        <v>78</v>
      </c>
      <c r="I190" s="24">
        <f>'[4]1.RSP Districts '!I190</f>
        <v>78</v>
      </c>
      <c r="J190" s="57">
        <v>65409.560439560439</v>
      </c>
      <c r="K190" s="24">
        <v>2250</v>
      </c>
      <c r="L190" s="24">
        <v>2940</v>
      </c>
      <c r="M190" s="102">
        <f>(L190-K190)/K190%</f>
        <v>30.666666666666668</v>
      </c>
      <c r="N190" s="102">
        <v>0</v>
      </c>
      <c r="O190" s="24">
        <v>49</v>
      </c>
      <c r="P190" s="24">
        <f>'[4]1.RSP Districts '!P190</f>
        <v>79</v>
      </c>
      <c r="Q190" s="102">
        <f>(P190-O190)/O190%</f>
        <v>61.224489795918366</v>
      </c>
      <c r="R190" s="31" t="s">
        <v>9</v>
      </c>
      <c r="S190" s="1">
        <v>1</v>
      </c>
      <c r="T190" s="220">
        <f>I190-'[5]1.RSP Districts '!I189</f>
        <v>78</v>
      </c>
      <c r="U190" s="220">
        <f>P190-'[6]1.RSP Districts '!$P$43</f>
        <v>79</v>
      </c>
    </row>
    <row r="191" spans="1:21" s="6" customFormat="1" hidden="1" x14ac:dyDescent="0.25">
      <c r="A191" s="92">
        <v>2</v>
      </c>
      <c r="B191" s="23" t="s">
        <v>182</v>
      </c>
      <c r="C191" s="57">
        <v>28</v>
      </c>
      <c r="D191" s="57">
        <v>0</v>
      </c>
      <c r="E191" s="57">
        <v>0</v>
      </c>
      <c r="F191" s="102">
        <v>0</v>
      </c>
      <c r="G191" s="102">
        <f t="shared" si="47"/>
        <v>0</v>
      </c>
      <c r="H191" s="102">
        <v>0</v>
      </c>
      <c r="I191" s="102">
        <v>0</v>
      </c>
      <c r="J191" s="57">
        <v>55225.252525252523</v>
      </c>
      <c r="K191" s="24">
        <v>0</v>
      </c>
      <c r="L191" s="57">
        <v>0</v>
      </c>
      <c r="M191" s="102">
        <v>0</v>
      </c>
      <c r="N191" s="102">
        <v>0</v>
      </c>
      <c r="O191" s="24">
        <v>0</v>
      </c>
      <c r="P191" s="99">
        <v>0</v>
      </c>
      <c r="Q191" s="102">
        <v>0</v>
      </c>
      <c r="R191" s="93">
        <v>0</v>
      </c>
      <c r="S191" s="1">
        <v>1</v>
      </c>
    </row>
    <row r="192" spans="1:21" s="6" customFormat="1" x14ac:dyDescent="0.25">
      <c r="A192" s="92">
        <v>3</v>
      </c>
      <c r="B192" s="23" t="s">
        <v>157</v>
      </c>
      <c r="C192" s="24">
        <v>23</v>
      </c>
      <c r="D192" s="24">
        <v>3</v>
      </c>
      <c r="E192" s="24">
        <f>D192</f>
        <v>3</v>
      </c>
      <c r="F192" s="102">
        <f>(E192-D192)/D192%</f>
        <v>0</v>
      </c>
      <c r="G192" s="102">
        <f t="shared" si="47"/>
        <v>13.043478260869565</v>
      </c>
      <c r="H192" s="24">
        <v>0</v>
      </c>
      <c r="I192" s="24">
        <f>'[4]1.RSP Districts '!I192</f>
        <v>0</v>
      </c>
      <c r="J192" s="24">
        <v>42293.396226415098</v>
      </c>
      <c r="K192" s="24">
        <v>4668</v>
      </c>
      <c r="L192" s="24">
        <v>4714</v>
      </c>
      <c r="M192" s="102">
        <f>(L192-K192)/K192%</f>
        <v>0.98543273350471294</v>
      </c>
      <c r="N192" s="102">
        <f>L192/J192%</f>
        <v>11.145948116258838</v>
      </c>
      <c r="O192" s="24">
        <v>143</v>
      </c>
      <c r="P192" s="24">
        <f>'[4]1.RSP Districts '!P192</f>
        <v>145</v>
      </c>
      <c r="Q192" s="102">
        <f>(P192-O192)/O192%</f>
        <v>1.3986013986013988</v>
      </c>
      <c r="R192" s="31" t="s">
        <v>9</v>
      </c>
      <c r="S192" s="1">
        <v>1</v>
      </c>
      <c r="T192" s="220">
        <f>I192-'[5]1.RSP Districts '!I191</f>
        <v>0</v>
      </c>
      <c r="U192" s="220">
        <f>P192-'[6]1.RSP Districts '!$P$43</f>
        <v>145</v>
      </c>
    </row>
    <row r="193" spans="1:21" s="6" customFormat="1" x14ac:dyDescent="0.25">
      <c r="A193" s="92">
        <v>4</v>
      </c>
      <c r="B193" s="23" t="s">
        <v>183</v>
      </c>
      <c r="C193" s="24">
        <v>21</v>
      </c>
      <c r="D193" s="24">
        <v>3</v>
      </c>
      <c r="E193" s="24">
        <f>D193</f>
        <v>3</v>
      </c>
      <c r="F193" s="102">
        <v>0</v>
      </c>
      <c r="G193" s="102">
        <f t="shared" si="47"/>
        <v>14.285714285714286</v>
      </c>
      <c r="H193" s="24">
        <v>78</v>
      </c>
      <c r="I193" s="24">
        <f>'[4]1.RSP Districts '!I193</f>
        <v>78</v>
      </c>
      <c r="J193" s="57">
        <v>37161.444444444445</v>
      </c>
      <c r="K193" s="24">
        <v>2054</v>
      </c>
      <c r="L193" s="24">
        <v>2514</v>
      </c>
      <c r="M193" s="102">
        <f>(L193-K193)/K193%</f>
        <v>22.395326192794549</v>
      </c>
      <c r="N193" s="102">
        <v>0</v>
      </c>
      <c r="O193" s="24">
        <v>45</v>
      </c>
      <c r="P193" s="24">
        <f>'[4]1.RSP Districts '!P193</f>
        <v>65</v>
      </c>
      <c r="Q193" s="102">
        <f>(P193-O193)/O193%</f>
        <v>44.444444444444443</v>
      </c>
      <c r="R193" s="31" t="s">
        <v>9</v>
      </c>
      <c r="S193" s="1">
        <v>1</v>
      </c>
      <c r="T193" s="220">
        <f>I193-'[5]1.RSP Districts '!I192</f>
        <v>78</v>
      </c>
      <c r="U193" s="220">
        <f>P193-'[6]1.RSP Districts '!$P$43</f>
        <v>65</v>
      </c>
    </row>
    <row r="194" spans="1:21" s="6" customFormat="1" hidden="1" x14ac:dyDescent="0.25">
      <c r="A194" s="92">
        <v>5</v>
      </c>
      <c r="B194" s="23" t="s">
        <v>184</v>
      </c>
      <c r="C194" s="24">
        <v>22</v>
      </c>
      <c r="D194" s="57">
        <v>0</v>
      </c>
      <c r="E194" s="57">
        <v>0</v>
      </c>
      <c r="F194" s="102">
        <v>0</v>
      </c>
      <c r="G194" s="102">
        <f t="shared" si="47"/>
        <v>0</v>
      </c>
      <c r="H194" s="102">
        <v>0</v>
      </c>
      <c r="I194" s="102">
        <v>0</v>
      </c>
      <c r="J194" s="57">
        <v>39697.362637362639</v>
      </c>
      <c r="K194" s="24">
        <v>0</v>
      </c>
      <c r="L194" s="57">
        <v>0</v>
      </c>
      <c r="M194" s="102">
        <v>0</v>
      </c>
      <c r="N194" s="102">
        <v>0</v>
      </c>
      <c r="O194" s="24">
        <v>0</v>
      </c>
      <c r="P194" s="24">
        <v>0</v>
      </c>
      <c r="Q194" s="102">
        <v>0</v>
      </c>
      <c r="R194" s="93">
        <v>0</v>
      </c>
      <c r="S194" s="1">
        <v>1</v>
      </c>
    </row>
    <row r="195" spans="1:21" s="6" customFormat="1" hidden="1" x14ac:dyDescent="0.25">
      <c r="A195" s="92">
        <v>6</v>
      </c>
      <c r="B195" s="23" t="s">
        <v>185</v>
      </c>
      <c r="C195" s="24">
        <v>15</v>
      </c>
      <c r="D195" s="57"/>
      <c r="E195" s="57">
        <v>0</v>
      </c>
      <c r="F195" s="102">
        <v>0</v>
      </c>
      <c r="G195" s="102">
        <v>0</v>
      </c>
      <c r="H195" s="102">
        <v>0</v>
      </c>
      <c r="I195" s="102">
        <v>0</v>
      </c>
      <c r="J195" s="57">
        <v>25618.295454545452</v>
      </c>
      <c r="K195" s="24">
        <v>0</v>
      </c>
      <c r="L195" s="57">
        <v>0</v>
      </c>
      <c r="M195" s="102">
        <v>0</v>
      </c>
      <c r="N195" s="102">
        <v>0</v>
      </c>
      <c r="O195" s="24">
        <v>0</v>
      </c>
      <c r="P195" s="24">
        <v>0</v>
      </c>
      <c r="Q195" s="102">
        <v>0</v>
      </c>
      <c r="R195" s="93">
        <v>0</v>
      </c>
      <c r="S195" s="1">
        <v>1</v>
      </c>
    </row>
    <row r="196" spans="1:21" s="6" customFormat="1" x14ac:dyDescent="0.25">
      <c r="A196" s="92">
        <v>7</v>
      </c>
      <c r="B196" s="23" t="s">
        <v>186</v>
      </c>
      <c r="C196" s="24">
        <v>29</v>
      </c>
      <c r="D196" s="24">
        <v>3</v>
      </c>
      <c r="E196" s="24">
        <f>D196</f>
        <v>3</v>
      </c>
      <c r="F196" s="102">
        <v>0</v>
      </c>
      <c r="G196" s="102">
        <v>0</v>
      </c>
      <c r="H196" s="24">
        <v>78</v>
      </c>
      <c r="I196" s="24">
        <f>'[4]1.RSP Districts '!I196</f>
        <v>78</v>
      </c>
      <c r="J196" s="57">
        <v>50569.529411764706</v>
      </c>
      <c r="K196" s="24">
        <v>1514</v>
      </c>
      <c r="L196" s="24">
        <v>2020</v>
      </c>
      <c r="M196" s="102">
        <f t="shared" ref="M196:M201" si="48">(L196-K196)/K196%</f>
        <v>33.421400264200791</v>
      </c>
      <c r="N196" s="102">
        <v>0</v>
      </c>
      <c r="O196" s="24">
        <v>49</v>
      </c>
      <c r="P196" s="24">
        <f>'[4]1.RSP Districts '!P196</f>
        <v>71</v>
      </c>
      <c r="Q196" s="102">
        <f>(P196-O196)/O196%</f>
        <v>44.897959183673471</v>
      </c>
      <c r="R196" s="31" t="s">
        <v>9</v>
      </c>
      <c r="S196" s="1">
        <v>1</v>
      </c>
      <c r="T196" s="220">
        <f>I196-'[5]1.RSP Districts '!I195</f>
        <v>78</v>
      </c>
      <c r="U196" s="220">
        <f>P196-'[6]1.RSP Districts '!$P$43</f>
        <v>71</v>
      </c>
    </row>
    <row r="197" spans="1:21" s="6" customFormat="1" hidden="1" x14ac:dyDescent="0.25">
      <c r="A197" s="92">
        <v>8</v>
      </c>
      <c r="B197" s="23" t="s">
        <v>187</v>
      </c>
      <c r="C197" s="24">
        <v>1</v>
      </c>
      <c r="D197" s="57"/>
      <c r="E197" s="57">
        <v>0</v>
      </c>
      <c r="F197" s="102">
        <v>0</v>
      </c>
      <c r="G197" s="102">
        <v>0</v>
      </c>
      <c r="H197" s="102">
        <v>0</v>
      </c>
      <c r="I197" s="102">
        <v>0</v>
      </c>
      <c r="J197" s="57">
        <v>931.6</v>
      </c>
      <c r="K197" s="24">
        <v>0</v>
      </c>
      <c r="L197" s="57">
        <v>0</v>
      </c>
      <c r="M197" s="102">
        <v>0</v>
      </c>
      <c r="N197" s="102">
        <v>0</v>
      </c>
      <c r="O197" s="24">
        <v>0</v>
      </c>
      <c r="P197" s="24">
        <v>0</v>
      </c>
      <c r="Q197" s="102">
        <v>0</v>
      </c>
      <c r="R197" s="93">
        <v>0</v>
      </c>
      <c r="S197" s="1">
        <v>1</v>
      </c>
    </row>
    <row r="198" spans="1:21" s="6" customFormat="1" hidden="1" x14ac:dyDescent="0.25">
      <c r="A198" s="92">
        <v>9</v>
      </c>
      <c r="B198" s="23" t="s">
        <v>188</v>
      </c>
      <c r="C198" s="24">
        <v>1</v>
      </c>
      <c r="D198" s="57"/>
      <c r="E198" s="57">
        <v>0</v>
      </c>
      <c r="F198" s="102">
        <v>0</v>
      </c>
      <c r="G198" s="102">
        <f t="shared" si="47"/>
        <v>0</v>
      </c>
      <c r="H198" s="102">
        <v>0</v>
      </c>
      <c r="I198" s="102">
        <v>0</v>
      </c>
      <c r="J198" s="57">
        <v>2040.9375</v>
      </c>
      <c r="K198" s="24">
        <v>0</v>
      </c>
      <c r="L198" s="57">
        <v>0</v>
      </c>
      <c r="M198" s="102">
        <v>0</v>
      </c>
      <c r="N198" s="102">
        <v>0</v>
      </c>
      <c r="O198" s="24">
        <v>0</v>
      </c>
      <c r="P198" s="24">
        <v>0</v>
      </c>
      <c r="Q198" s="102">
        <v>0</v>
      </c>
      <c r="R198" s="93">
        <v>0</v>
      </c>
      <c r="S198" s="1">
        <v>1</v>
      </c>
    </row>
    <row r="199" spans="1:21" s="6" customFormat="1" hidden="1" x14ac:dyDescent="0.25">
      <c r="A199" s="92">
        <v>10</v>
      </c>
      <c r="B199" s="23" t="s">
        <v>189</v>
      </c>
      <c r="C199" s="24">
        <v>3</v>
      </c>
      <c r="D199" s="57"/>
      <c r="E199" s="57">
        <v>0</v>
      </c>
      <c r="F199" s="102">
        <v>0</v>
      </c>
      <c r="G199" s="102">
        <v>0</v>
      </c>
      <c r="H199" s="102">
        <v>0</v>
      </c>
      <c r="I199" s="102">
        <v>0</v>
      </c>
      <c r="J199" s="57">
        <v>5491.5492957746483</v>
      </c>
      <c r="K199" s="24">
        <v>0</v>
      </c>
      <c r="L199" s="57">
        <v>0</v>
      </c>
      <c r="M199" s="102">
        <v>0</v>
      </c>
      <c r="N199" s="102">
        <v>0</v>
      </c>
      <c r="O199" s="24">
        <v>0</v>
      </c>
      <c r="P199" s="24">
        <v>0</v>
      </c>
      <c r="Q199" s="102">
        <v>0</v>
      </c>
      <c r="R199" s="93">
        <v>0</v>
      </c>
      <c r="S199" s="1">
        <v>1</v>
      </c>
    </row>
    <row r="200" spans="1:21" s="6" customFormat="1" hidden="1" x14ac:dyDescent="0.25">
      <c r="A200" s="92">
        <v>11</v>
      </c>
      <c r="B200" s="23" t="s">
        <v>190</v>
      </c>
      <c r="C200" s="24">
        <v>5</v>
      </c>
      <c r="D200" s="57"/>
      <c r="E200" s="57">
        <v>0</v>
      </c>
      <c r="F200" s="102">
        <v>0</v>
      </c>
      <c r="G200" s="102">
        <f t="shared" si="47"/>
        <v>0</v>
      </c>
      <c r="H200" s="102">
        <v>0</v>
      </c>
      <c r="I200" s="102">
        <v>0</v>
      </c>
      <c r="J200" s="57">
        <v>9511.3978494623643</v>
      </c>
      <c r="K200" s="24">
        <v>0</v>
      </c>
      <c r="L200" s="57">
        <v>0</v>
      </c>
      <c r="M200" s="102">
        <v>0</v>
      </c>
      <c r="N200" s="102">
        <v>0</v>
      </c>
      <c r="O200" s="24">
        <v>0</v>
      </c>
      <c r="P200" s="24">
        <v>0</v>
      </c>
      <c r="Q200" s="102">
        <v>0</v>
      </c>
      <c r="R200" s="93">
        <v>0</v>
      </c>
      <c r="S200" s="1">
        <v>1</v>
      </c>
    </row>
    <row r="201" spans="1:21" s="6" customFormat="1" ht="14.4" x14ac:dyDescent="0.3">
      <c r="A201" s="92">
        <v>12</v>
      </c>
      <c r="B201" s="47" t="s">
        <v>158</v>
      </c>
      <c r="C201" s="24">
        <v>3</v>
      </c>
      <c r="D201" s="24">
        <v>3</v>
      </c>
      <c r="E201" s="24">
        <f>D201</f>
        <v>3</v>
      </c>
      <c r="F201" s="102">
        <f>(E201-D201)/D201%</f>
        <v>0</v>
      </c>
      <c r="G201" s="102">
        <f t="shared" si="47"/>
        <v>100</v>
      </c>
      <c r="H201" s="24">
        <v>0</v>
      </c>
      <c r="I201" s="24">
        <f>'[4]1.RSP Districts '!I201</f>
        <v>0</v>
      </c>
      <c r="J201" s="24">
        <v>6118.295454545454</v>
      </c>
      <c r="K201" s="24">
        <v>1738</v>
      </c>
      <c r="L201" s="24">
        <f>'[4]1.RSP Districts '!L201</f>
        <v>1738</v>
      </c>
      <c r="M201" s="102">
        <f t="shared" si="48"/>
        <v>0</v>
      </c>
      <c r="N201" s="102">
        <f>L201/J201%</f>
        <v>28.406604632157652</v>
      </c>
      <c r="O201" s="24">
        <v>116</v>
      </c>
      <c r="P201" s="24">
        <f>O201</f>
        <v>116</v>
      </c>
      <c r="Q201" s="102">
        <f>(P201-O201)/O201%</f>
        <v>0</v>
      </c>
      <c r="R201" s="31" t="s">
        <v>9</v>
      </c>
      <c r="S201" s="1">
        <v>1</v>
      </c>
      <c r="T201" s="220">
        <f>I201-'[5]1.RSP Districts '!I200</f>
        <v>0</v>
      </c>
      <c r="U201" s="220">
        <f>P201-'[6]1.RSP Districts '!$P$43</f>
        <v>116</v>
      </c>
    </row>
    <row r="202" spans="1:21" s="6" customFormat="1" hidden="1" x14ac:dyDescent="0.25">
      <c r="A202" s="145">
        <v>13</v>
      </c>
      <c r="B202" s="37" t="s">
        <v>191</v>
      </c>
      <c r="C202" s="38">
        <v>2</v>
      </c>
      <c r="D202" s="144"/>
      <c r="E202" s="144">
        <v>0</v>
      </c>
      <c r="F202" s="134">
        <v>0</v>
      </c>
      <c r="G202" s="134">
        <f t="shared" si="47"/>
        <v>0</v>
      </c>
      <c r="H202" s="134">
        <v>0</v>
      </c>
      <c r="I202" s="134">
        <v>0</v>
      </c>
      <c r="J202" s="144">
        <v>3581.0526315789475</v>
      </c>
      <c r="K202" s="38">
        <v>0</v>
      </c>
      <c r="L202" s="144">
        <v>0</v>
      </c>
      <c r="M202" s="102">
        <v>0</v>
      </c>
      <c r="N202" s="134">
        <v>0</v>
      </c>
      <c r="O202" s="38">
        <v>0</v>
      </c>
      <c r="P202" s="143">
        <v>0</v>
      </c>
      <c r="Q202" s="134">
        <v>0</v>
      </c>
      <c r="R202" s="142">
        <v>0</v>
      </c>
      <c r="S202" s="1">
        <v>1</v>
      </c>
    </row>
    <row r="203" spans="1:21" s="4" customFormat="1" ht="14.4" hidden="1" thickBot="1" x14ac:dyDescent="0.3">
      <c r="A203" s="148">
        <f>COUNTIF(R190:R202,"*")</f>
        <v>5</v>
      </c>
      <c r="B203" s="147" t="s">
        <v>33</v>
      </c>
      <c r="C203" s="56">
        <f>SUM(C190:C202)</f>
        <v>190</v>
      </c>
      <c r="D203" s="56">
        <f>SUM(D190:D202)</f>
        <v>15</v>
      </c>
      <c r="E203" s="56">
        <f>SUM(E190:E202)</f>
        <v>15</v>
      </c>
      <c r="F203" s="149">
        <f>(E203-D203)/D203%</f>
        <v>0</v>
      </c>
      <c r="G203" s="149">
        <f t="shared" si="47"/>
        <v>7.8947368421052637</v>
      </c>
      <c r="H203" s="149">
        <f>SUM(H190:H202)</f>
        <v>234</v>
      </c>
      <c r="I203" s="149">
        <f>SUM(I190:I202)</f>
        <v>234</v>
      </c>
      <c r="J203" s="56">
        <f>SUM(J190:J202)</f>
        <v>343649.6738707067</v>
      </c>
      <c r="K203" s="56">
        <f>SUM(K190:K202)</f>
        <v>12224</v>
      </c>
      <c r="L203" s="56">
        <f>SUM(L190:L202)</f>
        <v>13926</v>
      </c>
      <c r="M203" s="149">
        <f>(L203-K203)/K203%</f>
        <v>13.923429319371728</v>
      </c>
      <c r="N203" s="149">
        <f>L203/J203%</f>
        <v>4.0523827196296018</v>
      </c>
      <c r="O203" s="56">
        <f>SUM(O190:O202)</f>
        <v>402</v>
      </c>
      <c r="P203" s="56">
        <f>SUM(P190:P202)</f>
        <v>476</v>
      </c>
      <c r="Q203" s="149">
        <f>(P203-O203)/O203%</f>
        <v>18.407960199004979</v>
      </c>
      <c r="R203" s="151"/>
      <c r="S203" s="1">
        <v>1</v>
      </c>
    </row>
    <row r="204" spans="1:21" s="4" customFormat="1" ht="6.75" hidden="1" customHeight="1" thickBot="1" x14ac:dyDescent="0.3">
      <c r="A204" s="34"/>
      <c r="B204" s="48"/>
      <c r="C204" s="34"/>
      <c r="D204" s="27"/>
      <c r="E204" s="27"/>
      <c r="F204" s="103"/>
      <c r="G204" s="103"/>
      <c r="H204" s="103"/>
      <c r="I204" s="103"/>
      <c r="J204" s="34"/>
      <c r="K204" s="27"/>
      <c r="L204" s="27"/>
      <c r="M204" s="27"/>
      <c r="N204" s="27"/>
      <c r="O204" s="27"/>
      <c r="P204" s="27"/>
      <c r="Q204" s="27"/>
      <c r="R204" s="49"/>
      <c r="S204" s="1">
        <v>1</v>
      </c>
    </row>
    <row r="205" spans="1:21" s="4" customFormat="1" ht="13.5" hidden="1" customHeight="1" thickBot="1" x14ac:dyDescent="0.35">
      <c r="A205" s="50">
        <f>(A40+A77+A104+A158+A177+A187+A7+A203)</f>
        <v>120</v>
      </c>
      <c r="B205" s="51" t="s">
        <v>159</v>
      </c>
      <c r="C205" s="56">
        <f>C40+C77+C104+C158+C177+C187+C7+C203</f>
        <v>5568</v>
      </c>
      <c r="D205" s="56">
        <f>D40+D77+D104+D158+D177+D187+D7+D203</f>
        <v>3616</v>
      </c>
      <c r="E205" s="56">
        <f>E40+E77+E104+E158+E177+E187+E7+E203</f>
        <v>3617</v>
      </c>
      <c r="F205" s="149">
        <f>(E205-D205)/D205%</f>
        <v>2.7654867256637169E-2</v>
      </c>
      <c r="G205" s="149">
        <f>E205/C205%</f>
        <v>64.960488505747122</v>
      </c>
      <c r="H205" s="56">
        <f>H40+H77+H104+H158+H177+H187+H7+H203</f>
        <v>28679.610293215555</v>
      </c>
      <c r="I205" s="56">
        <f>I40+I77+I104+I158+I177+I187+I7+I203</f>
        <v>28742.610293215555</v>
      </c>
      <c r="J205" s="56">
        <f>J40+J77+J104+J158+J177+J187+J7+J203</f>
        <v>12479974.528189642</v>
      </c>
      <c r="K205" s="56">
        <f>K40+K77+K104+K158+K177+K187+K7+K203</f>
        <v>5687430</v>
      </c>
      <c r="L205" s="56">
        <f>L40+L77+L104+L158+L177+L187+L7+L203</f>
        <v>5847177</v>
      </c>
      <c r="M205" s="149">
        <f>(L205-K205)/K205%</f>
        <v>2.8087730310526897</v>
      </c>
      <c r="N205" s="149">
        <f>L205/J205%</f>
        <v>46.852475434084056</v>
      </c>
      <c r="O205" s="56">
        <f>O40+O77+O104+O158+O177+O187+O7+O203</f>
        <v>341164</v>
      </c>
      <c r="P205" s="56">
        <f>P40+P77+P104+P158+P177+P187+P7+P203</f>
        <v>349967</v>
      </c>
      <c r="Q205" s="149">
        <f>(P205-O205)/O205%</f>
        <v>2.5802839690002464</v>
      </c>
      <c r="R205" s="132"/>
      <c r="S205" s="1">
        <v>1</v>
      </c>
    </row>
    <row r="206" spans="1:21" ht="6" hidden="1" customHeight="1" x14ac:dyDescent="0.3">
      <c r="A206" s="15"/>
      <c r="B206" s="13"/>
      <c r="C206" s="58"/>
      <c r="D206" s="27"/>
      <c r="E206" s="27"/>
      <c r="F206" s="103"/>
      <c r="G206" s="103"/>
      <c r="H206" s="103"/>
      <c r="I206" s="103"/>
      <c r="J206" s="58"/>
      <c r="K206" s="58"/>
      <c r="L206" s="58"/>
      <c r="M206" s="58"/>
      <c r="N206" s="58"/>
      <c r="O206" s="58"/>
      <c r="P206" s="58"/>
      <c r="Q206" s="146"/>
      <c r="R206" s="14"/>
      <c r="S206" s="1">
        <v>1</v>
      </c>
    </row>
    <row r="207" spans="1:21" ht="16.5" hidden="1" customHeight="1" thickBot="1" x14ac:dyDescent="0.35">
      <c r="A207" s="82" t="s">
        <v>160</v>
      </c>
      <c r="B207" s="13"/>
      <c r="C207" s="58"/>
      <c r="D207" s="27"/>
      <c r="E207" s="27"/>
      <c r="F207" s="103"/>
      <c r="G207" s="103"/>
      <c r="H207" s="103"/>
      <c r="I207" s="103"/>
      <c r="J207" s="58"/>
      <c r="K207" s="58"/>
      <c r="L207" s="58"/>
      <c r="M207" s="58"/>
      <c r="N207" s="58"/>
      <c r="O207" s="58"/>
      <c r="P207" s="58"/>
      <c r="Q207" s="58"/>
      <c r="R207" s="14"/>
      <c r="S207" s="1">
        <v>1</v>
      </c>
    </row>
    <row r="208" spans="1:21" hidden="1" x14ac:dyDescent="0.25">
      <c r="A208" s="94" t="s">
        <v>200</v>
      </c>
      <c r="B208" s="95" t="s">
        <v>202</v>
      </c>
      <c r="C208" s="52"/>
      <c r="D208" s="100"/>
      <c r="E208" s="100"/>
      <c r="F208" s="107"/>
      <c r="G208" s="107"/>
      <c r="H208" s="135"/>
      <c r="I208" s="135"/>
      <c r="J208" s="53"/>
      <c r="K208" s="54"/>
      <c r="L208" s="54"/>
      <c r="M208" s="54"/>
      <c r="N208" s="54"/>
      <c r="O208" s="54"/>
      <c r="P208" s="54"/>
      <c r="Q208" s="54"/>
      <c r="R208" s="55"/>
      <c r="S208" s="1">
        <v>1</v>
      </c>
    </row>
    <row r="209" spans="1:23" hidden="1" x14ac:dyDescent="0.25">
      <c r="A209" s="22">
        <f>COUNTIF($R$6:$R$203,"AJKRSP")</f>
        <v>8</v>
      </c>
      <c r="B209" s="23" t="s">
        <v>283</v>
      </c>
      <c r="C209" s="29">
        <f>SUMIF($R$6:$R$202,"AJKRSP",$C$6:$C$202)</f>
        <v>176</v>
      </c>
      <c r="D209" s="29">
        <f>SUMIF($R$6:$R$202,"AJKRSP",$D$6:$D$202)</f>
        <v>136</v>
      </c>
      <c r="E209" s="29">
        <f>SUMIF($R$6:$R$202,"AJKRSP",$E$6:$E$202)</f>
        <v>136</v>
      </c>
      <c r="F209" s="102">
        <f>(E209-D209)/D209%</f>
        <v>0</v>
      </c>
      <c r="G209" s="102">
        <f t="shared" ref="G209:G219" si="49">E209/C209%</f>
        <v>77.272727272727266</v>
      </c>
      <c r="H209" s="29">
        <f>SUMIF($R$6:$R$202,"AJKRSP",$H$6:$H$202)</f>
        <v>621.7233161575266</v>
      </c>
      <c r="I209" s="29">
        <f>SUMIF($R$6:$R$202,"AJKRSP",$I$6:$I$202)</f>
        <v>621.7233161575266</v>
      </c>
      <c r="J209" s="29">
        <f>SUMIF($R$6:$R$202,"AJKRSP",$J$6:$J$202)</f>
        <v>353469.33658932324</v>
      </c>
      <c r="K209" s="29">
        <f>SUMIF($R$6:$R$202,"AJKRSP",$K$6:$K$202)</f>
        <v>102320</v>
      </c>
      <c r="L209" s="29">
        <f>SUMIF($R$6:$R$202,"AJKRSP",$L$6:$L$202)</f>
        <v>102320</v>
      </c>
      <c r="M209" s="102">
        <f t="shared" ref="M209:M219" si="50">(L209-K209)/K209%</f>
        <v>0</v>
      </c>
      <c r="N209" s="102">
        <f t="shared" ref="N209:N219" si="51">L209/J209%</f>
        <v>28.947348301072019</v>
      </c>
      <c r="O209" s="29">
        <f>SUMIF($R$6:$R$202,"AJKRSP",$O$6:$O$202)</f>
        <v>4750</v>
      </c>
      <c r="P209" s="29">
        <f>SUMIF($R$6:$R$202,"AJKRSP",$P$6:$P$202)</f>
        <v>4750</v>
      </c>
      <c r="Q209" s="102">
        <f t="shared" ref="Q209:Q219" si="52">(P209-O209)/O209%</f>
        <v>0</v>
      </c>
      <c r="R209" s="31" t="s">
        <v>1</v>
      </c>
      <c r="S209" s="1">
        <v>1</v>
      </c>
    </row>
    <row r="210" spans="1:23" s="6" customFormat="1" hidden="1" x14ac:dyDescent="0.25">
      <c r="A210" s="22">
        <f>COUNTIF($R$6:$R$203,"AKRSP")</f>
        <v>7</v>
      </c>
      <c r="B210" s="32" t="s">
        <v>211</v>
      </c>
      <c r="C210" s="29">
        <f>SUMIF($R$6:$R$202,"AKRSP",$C$6:$C$202)</f>
        <v>118</v>
      </c>
      <c r="D210" s="29">
        <f>SUMIF($R$6:$R$202,"AKRSP",$D$6:$D$202)</f>
        <v>118</v>
      </c>
      <c r="E210" s="29">
        <f>SUMIF($R$6:$R$202,"AKRSP",$E$6:$E$202)</f>
        <v>118</v>
      </c>
      <c r="F210" s="102">
        <f t="shared" ref="F210:F219" si="53">(E210-D210)/D210%</f>
        <v>0</v>
      </c>
      <c r="G210" s="102">
        <f t="shared" si="49"/>
        <v>100</v>
      </c>
      <c r="H210" s="29">
        <f>SUMIF($R$6:$R$202,"AKRSP",$H$6:$H$202)</f>
        <v>864</v>
      </c>
      <c r="I210" s="29">
        <f>SUMIF($R$6:$R$202,"AKRSP",$I$6:$I$202)</f>
        <v>864</v>
      </c>
      <c r="J210" s="29">
        <f>SUMIF($R$6:$R$202,"AKRSP",$J$6:$J$202)</f>
        <v>145528.83396348439</v>
      </c>
      <c r="K210" s="29">
        <f>SUMIF($R$6:$R$202,"AKRSP",$K$6:$K$202)</f>
        <v>110695</v>
      </c>
      <c r="L210" s="29">
        <f>SUMIF($R$6:$R$202,"AKRSP",$L$6:$L$202)</f>
        <v>110695</v>
      </c>
      <c r="M210" s="102">
        <f t="shared" si="50"/>
        <v>0</v>
      </c>
      <c r="N210" s="102">
        <f t="shared" si="51"/>
        <v>76.063964085478219</v>
      </c>
      <c r="O210" s="29">
        <f>SUMIF($R$6:$R$202,"AKRSP",$O$6:$O$202)</f>
        <v>5064</v>
      </c>
      <c r="P210" s="29">
        <f>SUMIF($R$6:$R$202,"AKRSP",$P$6:$P$202)</f>
        <v>5064</v>
      </c>
      <c r="Q210" s="102">
        <f t="shared" si="52"/>
        <v>0</v>
      </c>
      <c r="R210" s="31" t="s">
        <v>2</v>
      </c>
      <c r="S210" s="1">
        <v>1</v>
      </c>
    </row>
    <row r="211" spans="1:23" s="6" customFormat="1" hidden="1" x14ac:dyDescent="0.25">
      <c r="A211" s="22">
        <f>COUNTIF($R$6:$R$203,"BRSP")</f>
        <v>14</v>
      </c>
      <c r="B211" s="32" t="s">
        <v>212</v>
      </c>
      <c r="C211" s="29">
        <f>SUMIF($R$6:$R$202,"BRSP",$C$6:$C$202)</f>
        <v>313</v>
      </c>
      <c r="D211" s="29">
        <f>SUMIF($R$6:$R$202,"BRSP",$D$6:$D$202)</f>
        <v>204</v>
      </c>
      <c r="E211" s="29">
        <f>SUMIF($R$6:$R$202,"BRSP",$E$6:$E$202)</f>
        <v>204</v>
      </c>
      <c r="F211" s="102">
        <f t="shared" si="53"/>
        <v>0</v>
      </c>
      <c r="G211" s="102">
        <f t="shared" si="49"/>
        <v>65.175718849840251</v>
      </c>
      <c r="H211" s="29">
        <f>SUMIF($R$6:$R$202,"BRSP",$H$6:$H$202)</f>
        <v>1338</v>
      </c>
      <c r="I211" s="29">
        <f>SUMIF($R$6:$R$202,"BRSP",$I$6:$I$202)</f>
        <v>1338</v>
      </c>
      <c r="J211" s="29">
        <f>SUMIF($R$6:$R$202,"BRSP",$J$6:$J$202)</f>
        <v>423186.125</v>
      </c>
      <c r="K211" s="29">
        <f>SUMIF($R$6:$R$202,"BRSP",$K$6:$K$202)</f>
        <v>192619</v>
      </c>
      <c r="L211" s="29">
        <f>SUMIF($R$6:$R$202,"BRSP",$L$6:$L$202)</f>
        <v>200245</v>
      </c>
      <c r="M211" s="102">
        <f t="shared" si="50"/>
        <v>3.9591109911275626</v>
      </c>
      <c r="N211" s="102">
        <f t="shared" si="51"/>
        <v>47.318422833451827</v>
      </c>
      <c r="O211" s="29">
        <f>SUMIF($R$6:$R$202,"BRSP",$O$6:$O$202)</f>
        <v>11730</v>
      </c>
      <c r="P211" s="29">
        <f>SUMIF($R$6:$R$202,"BRSP",$P$6:$P$202)</f>
        <v>12000</v>
      </c>
      <c r="Q211" s="102">
        <f t="shared" si="52"/>
        <v>2.3017902813299234</v>
      </c>
      <c r="R211" s="31" t="s">
        <v>3</v>
      </c>
      <c r="S211" s="1">
        <v>1</v>
      </c>
      <c r="T211" s="86"/>
    </row>
    <row r="212" spans="1:23" s="6" customFormat="1" hidden="1" x14ac:dyDescent="0.25">
      <c r="A212" s="22">
        <f>COUNTIF($R$6:$R$203,"GBTI")</f>
        <v>3</v>
      </c>
      <c r="B212" s="32" t="s">
        <v>285</v>
      </c>
      <c r="C212" s="29">
        <f>SUMIF($R$6:$R$202,"GBTI",$C$6:$C$202)</f>
        <v>165</v>
      </c>
      <c r="D212" s="29">
        <f>SUMIF($R$6:$R$202,"GBTI",$D$6:$D$202)</f>
        <v>22</v>
      </c>
      <c r="E212" s="29">
        <f>SUMIF($R$6:$R$202,"GBTI",$E$6:$E$202)</f>
        <v>22</v>
      </c>
      <c r="F212" s="102">
        <f t="shared" si="53"/>
        <v>0</v>
      </c>
      <c r="G212" s="102">
        <f t="shared" si="49"/>
        <v>13.333333333333334</v>
      </c>
      <c r="H212" s="29">
        <f>SUMIF($R$6:$R$202,"GBTI",$H$6:$H$202)</f>
        <v>114</v>
      </c>
      <c r="I212" s="29">
        <f>SUMIF($R$6:$R$202,"GBTI",$I$6:$I$202)</f>
        <v>114</v>
      </c>
      <c r="J212" s="29">
        <f>SUMIF($R$6:$R$202,"GBTI",$J$6:$J$202)</f>
        <v>371315</v>
      </c>
      <c r="K212" s="29">
        <f>SUMIF($R$6:$R$202,"GBTI",$K$6:$K$202)</f>
        <v>34714</v>
      </c>
      <c r="L212" s="29">
        <f>SUMIF($R$6:$R$202,"GBTI",$L$6:$L$202)</f>
        <v>34926</v>
      </c>
      <c r="M212" s="102">
        <f t="shared" si="50"/>
        <v>0.61070461485279715</v>
      </c>
      <c r="N212" s="102">
        <f t="shared" si="51"/>
        <v>9.4060299206872866</v>
      </c>
      <c r="O212" s="29">
        <f>SUMIF($R$6:$R$202,"GBTI",$O$6:$O$202)</f>
        <v>3129</v>
      </c>
      <c r="P212" s="29">
        <f>SUMIF($R$6:$R$202,"GBTI",$P$6:$P$202)</f>
        <v>3145</v>
      </c>
      <c r="Q212" s="102">
        <f t="shared" si="52"/>
        <v>0.51134547778843087</v>
      </c>
      <c r="R212" s="31" t="s">
        <v>4</v>
      </c>
      <c r="S212" s="1">
        <v>1</v>
      </c>
    </row>
    <row r="213" spans="1:23" s="6" customFormat="1" hidden="1" x14ac:dyDescent="0.25">
      <c r="A213" s="22">
        <f>COUNTIF($R$6:$R$203,"NRSP")</f>
        <v>56</v>
      </c>
      <c r="B213" s="32" t="s">
        <v>213</v>
      </c>
      <c r="C213" s="29">
        <f>SUMIF($R$6:$R$202,"NRSP",$C$6:$C$202)</f>
        <v>2715</v>
      </c>
      <c r="D213" s="29">
        <f>SUMIF($R$6:$R$202,"NRSP",$D$6:$D$202)</f>
        <v>2038</v>
      </c>
      <c r="E213" s="29">
        <f>SUMIF($R$6:$R$202,"NRSP",$E$6:$E$202)</f>
        <v>2045</v>
      </c>
      <c r="F213" s="102">
        <f t="shared" si="53"/>
        <v>0.3434739941118744</v>
      </c>
      <c r="G213" s="102">
        <f t="shared" si="49"/>
        <v>75.322283609576431</v>
      </c>
      <c r="H213" s="29">
        <f>SUMIF($R$6:$R$202,"NRSP",$H$6:$H$202)</f>
        <v>13779.886977058031</v>
      </c>
      <c r="I213" s="29">
        <f>SUMIF($R$6:$R$202,"NRSP",$I$6:$I$202)</f>
        <v>13779.886977058031</v>
      </c>
      <c r="J213" s="29">
        <f>SUMIF($R$6:$R$202,"NRSP",$J$6:$J$202)</f>
        <v>6785828.1141952788</v>
      </c>
      <c r="K213" s="29">
        <f>SUMIF($R$6:$R$202,"NRSP",$K$6:$K$202)</f>
        <v>2394947</v>
      </c>
      <c r="L213" s="29">
        <f>SUMIF($R$6:$R$202,"NRSP",$L$6:$L$202)</f>
        <v>2476865</v>
      </c>
      <c r="M213" s="102">
        <f t="shared" si="50"/>
        <v>3.4204514755441351</v>
      </c>
      <c r="N213" s="102">
        <f t="shared" si="51"/>
        <v>36.500556134315346</v>
      </c>
      <c r="O213" s="29">
        <f>SUMIF($R$6:$R$202,"NRSP",$O$6:$O$202)</f>
        <v>158284</v>
      </c>
      <c r="P213" s="29">
        <f>SUMIF($R$6:$R$202,"NRSP",$P$6:$P$202)</f>
        <v>163496</v>
      </c>
      <c r="Q213" s="102">
        <f t="shared" si="52"/>
        <v>3.2928154456546461</v>
      </c>
      <c r="R213" s="31" t="s">
        <v>5</v>
      </c>
      <c r="S213" s="1">
        <v>1</v>
      </c>
      <c r="W213" s="220">
        <f>I213-'[2]1.RSP Districts '!I212</f>
        <v>13779.886977058031</v>
      </c>
    </row>
    <row r="214" spans="1:23" s="6" customFormat="1" hidden="1" x14ac:dyDescent="0.25">
      <c r="A214" s="22">
        <f>COUNTIF($R$6:$R$203,"PRSP")-4</f>
        <v>21</v>
      </c>
      <c r="B214" s="32" t="s">
        <v>228</v>
      </c>
      <c r="C214" s="29">
        <f>SUMIF($R$6:$R$202,"PRSP",C6:C202)</f>
        <v>1865</v>
      </c>
      <c r="D214" s="29">
        <f>SUMIF($R$6:$R$202,"PRSP",D6:D202)</f>
        <v>714</v>
      </c>
      <c r="E214" s="29">
        <f>SUMIF($R$6:$R$202,"PRSP",E6:E202)</f>
        <v>714</v>
      </c>
      <c r="F214" s="102">
        <f t="shared" si="53"/>
        <v>0</v>
      </c>
      <c r="G214" s="102">
        <f t="shared" si="49"/>
        <v>38.284182305630033</v>
      </c>
      <c r="H214" s="29">
        <f>SUMIF($R$6:$R$202,"PRSP",H6:H202)</f>
        <v>5764</v>
      </c>
      <c r="I214" s="29">
        <f>SUMIF($R$6:$R$202,"PRSP",I6:I202)</f>
        <v>5823</v>
      </c>
      <c r="J214" s="29">
        <f>SUMIF($R$6:$R$202,"pRSP",$J$6:$J$202)</f>
        <v>4326866.1652344316</v>
      </c>
      <c r="K214" s="29">
        <f>SUMIF($R$6:$R$202,"pRSP",$K$6:$K$202)</f>
        <v>1229002</v>
      </c>
      <c r="L214" s="29">
        <f>SUMIF($R$6:$R$202,"PRSP",$L$6:$L$202)</f>
        <v>1267536</v>
      </c>
      <c r="M214" s="102">
        <f t="shared" si="50"/>
        <v>3.1353895274377095</v>
      </c>
      <c r="N214" s="102">
        <f t="shared" si="51"/>
        <v>29.29455064231977</v>
      </c>
      <c r="O214" s="29">
        <f>SUMIF($R$6:$R$202,"pRSP",$O$6:$O$202)</f>
        <v>73271</v>
      </c>
      <c r="P214" s="29">
        <f>SUMIF($R$6:$R$202,"PRSP",$P$6:$P$202)</f>
        <v>75203</v>
      </c>
      <c r="Q214" s="102">
        <f t="shared" si="52"/>
        <v>2.6367867232602258</v>
      </c>
      <c r="R214" s="31" t="s">
        <v>6</v>
      </c>
      <c r="S214" s="1">
        <v>1</v>
      </c>
      <c r="T214" s="155"/>
    </row>
    <row r="215" spans="1:23" s="6" customFormat="1" hidden="1" x14ac:dyDescent="0.25">
      <c r="A215" s="22">
        <f>COUNTIF($R$6:$R$203,"SGA")</f>
        <v>1</v>
      </c>
      <c r="B215" s="32" t="s">
        <v>214</v>
      </c>
      <c r="C215" s="29">
        <f>SUMIF($R$6:$R$202,"SGA",$C$6:$C$202)</f>
        <v>55</v>
      </c>
      <c r="D215" s="29">
        <f>SUMIF($R$6:$R$202,"SGA",$D$6:$D$202)</f>
        <v>13</v>
      </c>
      <c r="E215" s="29">
        <f>SUMIF($R$6:$R$202,"SGA",$E$6:$E$202)</f>
        <v>13</v>
      </c>
      <c r="F215" s="102">
        <f t="shared" si="53"/>
        <v>0</v>
      </c>
      <c r="G215" s="102">
        <f t="shared" si="49"/>
        <v>23.636363636363633</v>
      </c>
      <c r="H215" s="29">
        <f>SUMIF($R$6:$R$202,"SGA",$H$6:$H$202)</f>
        <v>260</v>
      </c>
      <c r="I215" s="29">
        <f>SUMIF($R$6:$R$202,"SGA",$I$6:$I$202)</f>
        <v>260</v>
      </c>
      <c r="J215" s="29">
        <f>SUMIF($R$6:$R$202,"SGA",$J$6:$J$202)</f>
        <v>209191</v>
      </c>
      <c r="K215" s="29">
        <f>SUMIF($R$6:$R$202,"SGA",$K$6:$K$202)</f>
        <v>16500</v>
      </c>
      <c r="L215" s="29">
        <f>SUMIF($R$6:$R$202,"SGA",$L$6:$L$202)</f>
        <v>16500</v>
      </c>
      <c r="M215" s="102">
        <f t="shared" si="50"/>
        <v>0</v>
      </c>
      <c r="N215" s="102">
        <f t="shared" si="51"/>
        <v>7.8875286221682579</v>
      </c>
      <c r="O215" s="29">
        <f>SUMIF($R$6:$R$202,"SGA",$O$6:$O$202)</f>
        <v>860</v>
      </c>
      <c r="P215" s="29">
        <f>SUMIF($R$6:$R$202,"SGA",$P$6:$P$202)</f>
        <v>860</v>
      </c>
      <c r="Q215" s="102">
        <f t="shared" si="52"/>
        <v>0</v>
      </c>
      <c r="R215" s="31" t="s">
        <v>7</v>
      </c>
      <c r="S215" s="1">
        <v>1</v>
      </c>
    </row>
    <row r="216" spans="1:23" s="6" customFormat="1" hidden="1" x14ac:dyDescent="0.25">
      <c r="A216" s="22">
        <f>COUNTIF($R$6:$R$203,"SRSO")</f>
        <v>9</v>
      </c>
      <c r="B216" s="32" t="s">
        <v>215</v>
      </c>
      <c r="C216" s="29">
        <f>SUMIF($R$6:$R$202,"SRSO",$C$6:$C$202)</f>
        <v>431</v>
      </c>
      <c r="D216" s="29">
        <f>SUMIF($R$6:$R$202,"SRSO",$D$6:$D$202)</f>
        <v>338</v>
      </c>
      <c r="E216" s="29">
        <f>SUMIF($R$6:$R$202,"SRSO",$E$6:$E$202)</f>
        <v>339</v>
      </c>
      <c r="F216" s="102">
        <f t="shared" si="53"/>
        <v>0.29585798816568049</v>
      </c>
      <c r="G216" s="102">
        <f t="shared" si="49"/>
        <v>78.654292343387482</v>
      </c>
      <c r="H216" s="29">
        <f>SUMIF($R$6:$R$202,"SRSO",$H$6:$H$202)</f>
        <v>1875</v>
      </c>
      <c r="I216" s="29">
        <f>SUMIF($R$6:$R$202,"SRSO",$I$6:$I$202)</f>
        <v>1875</v>
      </c>
      <c r="J216" s="29">
        <f>SUMIF($R$6:$R$202,"SRSO",$J$6:$J$202)</f>
        <v>1183970.1255411254</v>
      </c>
      <c r="K216" s="29">
        <f>SUMIF($R$6:$R$202,"SRSO",$K$6:$K$202)</f>
        <v>591729</v>
      </c>
      <c r="L216" s="29">
        <f>SUMIF($R$6:$R$202,"SRSO",$L$6:$L$202)</f>
        <v>591984</v>
      </c>
      <c r="M216" s="102">
        <f t="shared" si="50"/>
        <v>4.3094051499926483E-2</v>
      </c>
      <c r="N216" s="102">
        <f t="shared" si="51"/>
        <v>49.999910236707855</v>
      </c>
      <c r="O216" s="29">
        <f>SUMIF($R$6:$R$202,"SRSO",$O$6:$O$202)</f>
        <v>37065</v>
      </c>
      <c r="P216" s="29">
        <f>SUMIF($R$6:$R$202,"SRSO",$P$6:$P$202)</f>
        <v>37081</v>
      </c>
      <c r="Q216" s="102">
        <f t="shared" si="52"/>
        <v>4.3167408606502096E-2</v>
      </c>
      <c r="R216" s="31" t="s">
        <v>8</v>
      </c>
      <c r="S216" s="1">
        <v>1</v>
      </c>
    </row>
    <row r="217" spans="1:23" s="6" customFormat="1" x14ac:dyDescent="0.25">
      <c r="A217" s="22">
        <f>COUNTIF($R$6:$R$203,"SRSP")</f>
        <v>25</v>
      </c>
      <c r="B217" s="32" t="s">
        <v>216</v>
      </c>
      <c r="C217" s="29">
        <f>SUMIF($R$6:$R$202,"SRSP",$C$6:$C$202)</f>
        <v>924</v>
      </c>
      <c r="D217" s="29">
        <f>SUMIF($R$6:$R$202,"SRSP",$E$6:$E$202)</f>
        <v>585</v>
      </c>
      <c r="E217" s="29">
        <f>SUMIF($R$6:$R$202,"SRSP",$E$6:$E$202)</f>
        <v>585</v>
      </c>
      <c r="F217" s="102">
        <f t="shared" si="53"/>
        <v>0</v>
      </c>
      <c r="G217" s="102">
        <f t="shared" si="49"/>
        <v>63.311688311688307</v>
      </c>
      <c r="H217" s="29">
        <f>SUMIF($R$6:$R$202,"SRSP",$H$6:$H$202)</f>
        <v>3502</v>
      </c>
      <c r="I217" s="29">
        <f>SUMIF($R$6:$R$202,"SRSP",$I$6:$I$202)</f>
        <v>3506</v>
      </c>
      <c r="J217" s="29">
        <f>SUMIF($R$6:$R$202,"SRSP",$J$6:$J$202)</f>
        <v>1843252.2259767302</v>
      </c>
      <c r="K217" s="29">
        <f>SUMIF($R$6:$R$202,"SRSP",$K$6:$K$202)</f>
        <v>744920</v>
      </c>
      <c r="L217" s="29">
        <f>SUMIF($R$6:$R$202,"SRSP",$L$6:$L$202)</f>
        <v>776062</v>
      </c>
      <c r="M217" s="102">
        <f t="shared" si="50"/>
        <v>4.1805831498684425</v>
      </c>
      <c r="N217" s="102">
        <f t="shared" si="51"/>
        <v>42.10286520005522</v>
      </c>
      <c r="O217" s="29">
        <f>SUMIF($R$6:$R$202,"SRSP",$O$6:$O$202)</f>
        <v>30568</v>
      </c>
      <c r="P217" s="29">
        <f>SUMIF($R$6:$R$202,"SRSP",$P$6:$P$202)</f>
        <v>31922</v>
      </c>
      <c r="Q217" s="102">
        <f>(P217-O217)/O217%</f>
        <v>4.4294687254645382</v>
      </c>
      <c r="R217" s="31" t="s">
        <v>9</v>
      </c>
      <c r="S217" s="1">
        <v>1</v>
      </c>
      <c r="T217" s="220">
        <f>I217-'[5]1.RSP Districts '!I216</f>
        <v>3506</v>
      </c>
      <c r="U217" s="220">
        <f>P217-'[6]1.RSP Districts '!$P$43</f>
        <v>31922</v>
      </c>
    </row>
    <row r="218" spans="1:23" s="6" customFormat="1" hidden="1" x14ac:dyDescent="0.25">
      <c r="A218" s="36">
        <f>COUNTIF($R$6:$R$203,"TRDP")</f>
        <v>4</v>
      </c>
      <c r="B218" s="141" t="s">
        <v>217</v>
      </c>
      <c r="C218" s="39">
        <f>SUMIF($R$6:$R$202,"TRDP",$C$6:$C$202)</f>
        <v>151</v>
      </c>
      <c r="D218" s="39">
        <f>SUMIF($R$6:$R$202,"TRDP",$D$6:$D$202)</f>
        <v>113</v>
      </c>
      <c r="E218" s="39">
        <f>SUMIF($R$6:$R$202,"TRDP",$E$6:$E$202)</f>
        <v>113</v>
      </c>
      <c r="F218" s="134">
        <f t="shared" si="53"/>
        <v>0</v>
      </c>
      <c r="G218" s="134">
        <f t="shared" si="49"/>
        <v>74.83443708609272</v>
      </c>
      <c r="H218" s="39">
        <f>SUMIF($R$6:$R$202,"TRDP",$H$6:$H$202)</f>
        <v>561</v>
      </c>
      <c r="I218" s="39">
        <f>SUMIF($R$6:$R$202,"TRDP",$I$6:$I$202)</f>
        <v>561</v>
      </c>
      <c r="J218" s="39">
        <f>SUMIF($R$6:$R$202,"TRDP",$J$6:$J$202)</f>
        <v>519666</v>
      </c>
      <c r="K218" s="39">
        <f>SUMIF($R$6:$R$202,"TRDP",$K$6:$K$202)</f>
        <v>269984</v>
      </c>
      <c r="L218" s="39">
        <f>SUMIF($R$6:$R$202,"TRDP",$L$6:$L$202)</f>
        <v>270044</v>
      </c>
      <c r="M218" s="134">
        <f t="shared" si="50"/>
        <v>2.2223539172691716E-2</v>
      </c>
      <c r="N218" s="134">
        <f t="shared" si="51"/>
        <v>51.964915926768349</v>
      </c>
      <c r="O218" s="39">
        <f>SUMIF($R$6:$R$202,"TRDP",$O$6:$O$202)</f>
        <v>16443</v>
      </c>
      <c r="P218" s="39">
        <f>SUMIF($R$6:$R$202,"TRDP",$P$6:$P$202)</f>
        <v>16446</v>
      </c>
      <c r="Q218" s="134">
        <f t="shared" si="52"/>
        <v>1.8244845831052726E-2</v>
      </c>
      <c r="R218" s="41" t="s">
        <v>10</v>
      </c>
      <c r="S218" s="1">
        <v>1</v>
      </c>
      <c r="U218" s="220">
        <f>C218-'[9]1.RSP Districts '!C217</f>
        <v>151</v>
      </c>
    </row>
    <row r="219" spans="1:23" s="7" customFormat="1" ht="14.4" hidden="1" thickBot="1" x14ac:dyDescent="0.3">
      <c r="A219" s="148">
        <f>SUM(A209:A218)-28</f>
        <v>120</v>
      </c>
      <c r="B219" s="147" t="s">
        <v>159</v>
      </c>
      <c r="C219" s="140">
        <f>C231</f>
        <v>5568</v>
      </c>
      <c r="D219" s="140">
        <f>D231</f>
        <v>3616</v>
      </c>
      <c r="E219" s="140">
        <f>E231</f>
        <v>3617</v>
      </c>
      <c r="F219" s="149">
        <f t="shared" si="53"/>
        <v>2.7654867256637169E-2</v>
      </c>
      <c r="G219" s="149">
        <f t="shared" si="49"/>
        <v>64.960488505747122</v>
      </c>
      <c r="H219" s="56">
        <f>SUM(H209:H218)</f>
        <v>28679.610293215559</v>
      </c>
      <c r="I219" s="56">
        <f>SUM(I209:I218)</f>
        <v>28742.610293215559</v>
      </c>
      <c r="J219" s="140">
        <f>J231</f>
        <v>12479974.528189642</v>
      </c>
      <c r="K219" s="56">
        <f>SUM(K209:K218)</f>
        <v>5687430</v>
      </c>
      <c r="L219" s="56">
        <f>SUM(L209:L218)</f>
        <v>5847177</v>
      </c>
      <c r="M219" s="149">
        <f t="shared" si="50"/>
        <v>2.8087730310526897</v>
      </c>
      <c r="N219" s="149">
        <f t="shared" si="51"/>
        <v>46.852475434084056</v>
      </c>
      <c r="O219" s="56">
        <f>SUM(O209:O218)</f>
        <v>341164</v>
      </c>
      <c r="P219" s="56">
        <f>SUM(P209:P218)</f>
        <v>349967</v>
      </c>
      <c r="Q219" s="149">
        <f t="shared" si="52"/>
        <v>2.5802839690002464</v>
      </c>
      <c r="R219" s="139"/>
      <c r="S219" s="1">
        <v>1</v>
      </c>
    </row>
    <row r="220" spans="1:23" s="7" customFormat="1" ht="26.25" hidden="1" customHeight="1" x14ac:dyDescent="0.25">
      <c r="A220" s="119" t="s">
        <v>229</v>
      </c>
      <c r="B220" s="48"/>
      <c r="C220" s="34"/>
      <c r="D220" s="34"/>
      <c r="E220" s="34"/>
      <c r="F220" s="106"/>
      <c r="G220" s="106"/>
      <c r="H220" s="106"/>
      <c r="I220" s="106"/>
      <c r="J220" s="34"/>
      <c r="K220" s="34"/>
      <c r="L220" s="34"/>
      <c r="M220" s="34"/>
      <c r="N220" s="34"/>
      <c r="O220" s="34"/>
      <c r="P220" s="34"/>
      <c r="Q220" s="34"/>
      <c r="R220" s="80"/>
      <c r="S220" s="1">
        <v>1</v>
      </c>
    </row>
    <row r="221" spans="1:23" ht="18" hidden="1" customHeight="1" thickBot="1" x14ac:dyDescent="0.35">
      <c r="A221" s="81" t="s">
        <v>201</v>
      </c>
      <c r="B221" s="13"/>
      <c r="C221" s="58"/>
      <c r="D221" s="27"/>
      <c r="E221" s="27"/>
      <c r="F221" s="103"/>
      <c r="G221" s="103"/>
      <c r="H221" s="103"/>
      <c r="I221" s="103"/>
      <c r="J221" s="58"/>
      <c r="K221" s="58"/>
      <c r="L221" s="58"/>
      <c r="M221" s="58"/>
      <c r="N221" s="58"/>
      <c r="O221" s="58"/>
      <c r="P221" s="58"/>
      <c r="Q221" s="58"/>
      <c r="R221" s="14"/>
      <c r="S221" s="1">
        <v>1</v>
      </c>
    </row>
    <row r="222" spans="1:23" ht="138" hidden="1" x14ac:dyDescent="0.25">
      <c r="A222" s="83" t="s">
        <v>221</v>
      </c>
      <c r="B222" s="96" t="s">
        <v>203</v>
      </c>
      <c r="C222" s="52"/>
      <c r="D222" s="100"/>
      <c r="E222" s="100"/>
      <c r="F222" s="107"/>
      <c r="G222" s="107"/>
      <c r="H222" s="107"/>
      <c r="I222" s="107"/>
      <c r="J222" s="52"/>
      <c r="K222" s="52"/>
      <c r="L222" s="52"/>
      <c r="M222" s="52"/>
      <c r="N222" s="52"/>
      <c r="O222" s="54"/>
      <c r="P222" s="54"/>
      <c r="Q222" s="54"/>
      <c r="R222" s="97" t="s">
        <v>222</v>
      </c>
      <c r="S222" s="1">
        <v>1</v>
      </c>
    </row>
    <row r="223" spans="1:23" hidden="1" x14ac:dyDescent="0.25">
      <c r="A223" s="22">
        <f>A7</f>
        <v>1</v>
      </c>
      <c r="B223" s="32" t="s">
        <v>284</v>
      </c>
      <c r="C223" s="24">
        <f>C7</f>
        <v>12</v>
      </c>
      <c r="D223" s="24">
        <f>D7</f>
        <v>12</v>
      </c>
      <c r="E223" s="24">
        <f>E7</f>
        <v>12</v>
      </c>
      <c r="F223" s="102">
        <f>(E223-D223)/D223%</f>
        <v>0</v>
      </c>
      <c r="G223" s="102">
        <f t="shared" ref="G223:G231" si="54">E223/C223%</f>
        <v>100</v>
      </c>
      <c r="H223" s="24">
        <f>H7</f>
        <v>722</v>
      </c>
      <c r="I223" s="24">
        <f>I7</f>
        <v>722</v>
      </c>
      <c r="J223" s="24">
        <f>J7</f>
        <v>43884</v>
      </c>
      <c r="K223" s="24">
        <f>K7</f>
        <v>26328</v>
      </c>
      <c r="L223" s="24">
        <f>L7</f>
        <v>26391</v>
      </c>
      <c r="M223" s="102">
        <f t="shared" ref="M223:M231" si="55">(L223-K223)/K223%</f>
        <v>0.23928896991795809</v>
      </c>
      <c r="N223" s="102">
        <f t="shared" ref="N223:N231" si="56">L223/J223%</f>
        <v>60.13809133169265</v>
      </c>
      <c r="O223" s="24">
        <f>O7</f>
        <v>1601</v>
      </c>
      <c r="P223" s="24">
        <f>P7</f>
        <v>1605</v>
      </c>
      <c r="Q223" s="102">
        <f t="shared" ref="Q223:Q231" si="57">(P223-O223)/O223%</f>
        <v>0.24984384759525294</v>
      </c>
      <c r="R223" s="79">
        <f>A7</f>
        <v>1</v>
      </c>
      <c r="S223" s="1">
        <v>1</v>
      </c>
    </row>
    <row r="224" spans="1:23" hidden="1" x14ac:dyDescent="0.25">
      <c r="A224" s="22">
        <f>A40</f>
        <v>19</v>
      </c>
      <c r="B224" s="32" t="s">
        <v>161</v>
      </c>
      <c r="C224" s="24">
        <f>C40</f>
        <v>547</v>
      </c>
      <c r="D224" s="24">
        <f>D40</f>
        <v>284</v>
      </c>
      <c r="E224" s="24">
        <f>E40</f>
        <v>284</v>
      </c>
      <c r="F224" s="102">
        <f t="shared" ref="F224:F231" si="58">(E224-D224)/D224%</f>
        <v>0</v>
      </c>
      <c r="G224" s="102">
        <f t="shared" si="54"/>
        <v>51.919561243144429</v>
      </c>
      <c r="H224" s="24">
        <f>H40</f>
        <v>2362</v>
      </c>
      <c r="I224" s="24">
        <f>I40</f>
        <v>2362</v>
      </c>
      <c r="J224" s="24">
        <f>J40</f>
        <v>814191</v>
      </c>
      <c r="K224" s="24">
        <f>K40</f>
        <v>292698</v>
      </c>
      <c r="L224" s="24">
        <f>L40</f>
        <v>319673</v>
      </c>
      <c r="M224" s="102">
        <f t="shared" si="55"/>
        <v>9.2159837101722601</v>
      </c>
      <c r="N224" s="102">
        <f t="shared" si="56"/>
        <v>39.262654585963247</v>
      </c>
      <c r="O224" s="24">
        <f>O40</f>
        <v>16795</v>
      </c>
      <c r="P224" s="24">
        <f>P40</f>
        <v>18248</v>
      </c>
      <c r="Q224" s="102">
        <f t="shared" si="57"/>
        <v>8.6513843405775539</v>
      </c>
      <c r="R224" s="78">
        <f>A39</f>
        <v>30</v>
      </c>
      <c r="S224" s="1">
        <v>1</v>
      </c>
    </row>
    <row r="225" spans="1:19" hidden="1" x14ac:dyDescent="0.25">
      <c r="A225" s="22">
        <f>A77</f>
        <v>21</v>
      </c>
      <c r="B225" s="32" t="s">
        <v>209</v>
      </c>
      <c r="C225" s="24">
        <f>C77</f>
        <v>964</v>
      </c>
      <c r="D225" s="24">
        <f>D77</f>
        <v>559</v>
      </c>
      <c r="E225" s="24">
        <f>E77</f>
        <v>559</v>
      </c>
      <c r="F225" s="102">
        <f t="shared" si="58"/>
        <v>0</v>
      </c>
      <c r="G225" s="102">
        <f t="shared" si="54"/>
        <v>57.987551867219914</v>
      </c>
      <c r="H225" s="24">
        <f>H77</f>
        <v>5059</v>
      </c>
      <c r="I225" s="24">
        <f>I77</f>
        <v>5063</v>
      </c>
      <c r="J225" s="24">
        <f>J77</f>
        <v>1889904</v>
      </c>
      <c r="K225" s="24">
        <f>K77</f>
        <v>921858</v>
      </c>
      <c r="L225" s="24">
        <f>L77</f>
        <v>953058</v>
      </c>
      <c r="M225" s="102">
        <f t="shared" si="55"/>
        <v>3.3844691915674647</v>
      </c>
      <c r="N225" s="102">
        <f t="shared" si="56"/>
        <v>50.428910674827925</v>
      </c>
      <c r="O225" s="24">
        <f>O77</f>
        <v>42261</v>
      </c>
      <c r="P225" s="24">
        <f>P77</f>
        <v>43648</v>
      </c>
      <c r="Q225" s="102">
        <f t="shared" si="57"/>
        <v>3.2819857551879981</v>
      </c>
      <c r="R225" s="79">
        <f>A76</f>
        <v>24</v>
      </c>
      <c r="S225" s="1">
        <v>1</v>
      </c>
    </row>
    <row r="226" spans="1:19" hidden="1" x14ac:dyDescent="0.25">
      <c r="A226" s="22">
        <f>A104</f>
        <v>22</v>
      </c>
      <c r="B226" s="32" t="s">
        <v>162</v>
      </c>
      <c r="C226" s="24">
        <f>C104</f>
        <v>921</v>
      </c>
      <c r="D226" s="24">
        <f>D104</f>
        <v>690</v>
      </c>
      <c r="E226" s="24">
        <f>E104</f>
        <v>691</v>
      </c>
      <c r="F226" s="102">
        <f t="shared" si="58"/>
        <v>0.14492753623188406</v>
      </c>
      <c r="G226" s="102">
        <f t="shared" si="54"/>
        <v>75.0271444082519</v>
      </c>
      <c r="H226" s="24">
        <f>H104</f>
        <v>3958</v>
      </c>
      <c r="I226" s="24">
        <f>I104</f>
        <v>3958</v>
      </c>
      <c r="J226" s="24">
        <f>J104</f>
        <v>2816903.1255411254</v>
      </c>
      <c r="K226" s="24">
        <f>K104</f>
        <v>1183431</v>
      </c>
      <c r="L226" s="24">
        <f>L104</f>
        <v>1188732</v>
      </c>
      <c r="M226" s="102">
        <f t="shared" si="55"/>
        <v>0.44793486058756277</v>
      </c>
      <c r="N226" s="102">
        <f t="shared" si="56"/>
        <v>42.199960276292614</v>
      </c>
      <c r="O226" s="24">
        <f>O104</f>
        <v>73226</v>
      </c>
      <c r="P226" s="24">
        <f>P104</f>
        <v>73635</v>
      </c>
      <c r="Q226" s="102">
        <f t="shared" si="57"/>
        <v>0.55854477917679513</v>
      </c>
      <c r="R226" s="79">
        <f>A103</f>
        <v>23</v>
      </c>
      <c r="S226" s="1">
        <v>1</v>
      </c>
    </row>
    <row r="227" spans="1:19" hidden="1" x14ac:dyDescent="0.25">
      <c r="A227" s="22">
        <f>A158</f>
        <v>36</v>
      </c>
      <c r="B227" s="32" t="s">
        <v>163</v>
      </c>
      <c r="C227" s="24">
        <f>C158</f>
        <v>2635</v>
      </c>
      <c r="D227" s="24">
        <f>D158</f>
        <v>1782</v>
      </c>
      <c r="E227" s="24">
        <f>E158</f>
        <v>1782</v>
      </c>
      <c r="F227" s="102">
        <f t="shared" si="58"/>
        <v>0</v>
      </c>
      <c r="G227" s="102">
        <f t="shared" si="54"/>
        <v>67.628083491461098</v>
      </c>
      <c r="H227" s="24">
        <f>H158</f>
        <v>14543</v>
      </c>
      <c r="I227" s="24">
        <f>I158</f>
        <v>14602</v>
      </c>
      <c r="J227" s="24">
        <f>J158</f>
        <v>6063823.2431565113</v>
      </c>
      <c r="K227" s="24">
        <f>K158</f>
        <v>2890443</v>
      </c>
      <c r="L227" s="24">
        <f>L158</f>
        <v>2980219</v>
      </c>
      <c r="M227" s="102">
        <f t="shared" si="55"/>
        <v>3.1059598822741012</v>
      </c>
      <c r="N227" s="102">
        <f t="shared" si="56"/>
        <v>49.147524268016966</v>
      </c>
      <c r="O227" s="24">
        <f>O158</f>
        <v>188939</v>
      </c>
      <c r="P227" s="24">
        <f>P158</f>
        <v>194113</v>
      </c>
      <c r="Q227" s="102">
        <f t="shared" si="57"/>
        <v>2.7384499759181535</v>
      </c>
      <c r="R227" s="79">
        <f>A157</f>
        <v>36</v>
      </c>
      <c r="S227" s="1">
        <v>1</v>
      </c>
    </row>
    <row r="228" spans="1:19" hidden="1" x14ac:dyDescent="0.25">
      <c r="A228" s="22">
        <f>A177</f>
        <v>10</v>
      </c>
      <c r="B228" s="32" t="s">
        <v>273</v>
      </c>
      <c r="C228" s="24">
        <f>C177</f>
        <v>196</v>
      </c>
      <c r="D228" s="24">
        <f>D177</f>
        <v>180</v>
      </c>
      <c r="E228" s="24">
        <f>E177</f>
        <v>180</v>
      </c>
      <c r="F228" s="102">
        <f t="shared" si="58"/>
        <v>0</v>
      </c>
      <c r="G228" s="102">
        <f t="shared" si="54"/>
        <v>91.83673469387756</v>
      </c>
      <c r="H228" s="24">
        <f>H177</f>
        <v>1315.6102932155563</v>
      </c>
      <c r="I228" s="24">
        <f>I177</f>
        <v>1315.6102932155563</v>
      </c>
      <c r="J228" s="24">
        <f>J177</f>
        <v>398969.65165781637</v>
      </c>
      <c r="K228" s="24">
        <f>K177</f>
        <v>284667</v>
      </c>
      <c r="L228" s="24">
        <f>L177</f>
        <v>289397</v>
      </c>
      <c r="M228" s="102">
        <f t="shared" si="55"/>
        <v>1.6615905601984071</v>
      </c>
      <c r="N228" s="102">
        <f t="shared" si="56"/>
        <v>72.536093609497556</v>
      </c>
      <c r="O228" s="24">
        <f>O177</f>
        <v>14556</v>
      </c>
      <c r="P228" s="24">
        <f>P177</f>
        <v>14858</v>
      </c>
      <c r="Q228" s="102">
        <f t="shared" si="57"/>
        <v>2.0747458092882658</v>
      </c>
      <c r="R228" s="79">
        <f>A176</f>
        <v>10</v>
      </c>
      <c r="S228" s="1">
        <v>1</v>
      </c>
    </row>
    <row r="229" spans="1:19" hidden="1" x14ac:dyDescent="0.25">
      <c r="A229" s="22">
        <f>A187</f>
        <v>6</v>
      </c>
      <c r="B229" s="32" t="s">
        <v>210</v>
      </c>
      <c r="C229" s="24">
        <f>C187</f>
        <v>103</v>
      </c>
      <c r="D229" s="24">
        <f>D187</f>
        <v>94</v>
      </c>
      <c r="E229" s="24">
        <f>E187</f>
        <v>94</v>
      </c>
      <c r="F229" s="102">
        <f t="shared" si="58"/>
        <v>0</v>
      </c>
      <c r="G229" s="102">
        <f t="shared" si="54"/>
        <v>91.262135922330089</v>
      </c>
      <c r="H229" s="24">
        <f>H187</f>
        <v>486</v>
      </c>
      <c r="I229" s="24">
        <f>I187</f>
        <v>486</v>
      </c>
      <c r="J229" s="24">
        <f>J187</f>
        <v>108649.83396348439</v>
      </c>
      <c r="K229" s="24">
        <f>K187</f>
        <v>75781</v>
      </c>
      <c r="L229" s="24">
        <f>L187</f>
        <v>75781</v>
      </c>
      <c r="M229" s="102">
        <f t="shared" si="55"/>
        <v>0</v>
      </c>
      <c r="N229" s="102">
        <f t="shared" si="56"/>
        <v>69.747920669136846</v>
      </c>
      <c r="O229" s="24">
        <f>O187</f>
        <v>3384</v>
      </c>
      <c r="P229" s="24">
        <f>P187</f>
        <v>3384</v>
      </c>
      <c r="Q229" s="102">
        <f t="shared" si="57"/>
        <v>0</v>
      </c>
      <c r="R229" s="79">
        <f>A186</f>
        <v>7</v>
      </c>
      <c r="S229" s="1">
        <v>1</v>
      </c>
    </row>
    <row r="230" spans="1:19" hidden="1" x14ac:dyDescent="0.25">
      <c r="A230" s="36">
        <f>A203</f>
        <v>5</v>
      </c>
      <c r="B230" s="141" t="s">
        <v>294</v>
      </c>
      <c r="C230" s="38">
        <f>C203</f>
        <v>190</v>
      </c>
      <c r="D230" s="38">
        <f>D203</f>
        <v>15</v>
      </c>
      <c r="E230" s="38">
        <f>E203</f>
        <v>15</v>
      </c>
      <c r="F230" s="134">
        <f t="shared" si="58"/>
        <v>0</v>
      </c>
      <c r="G230" s="134">
        <f t="shared" si="54"/>
        <v>7.8947368421052637</v>
      </c>
      <c r="H230" s="38">
        <f>H203</f>
        <v>234</v>
      </c>
      <c r="I230" s="38">
        <f>I203</f>
        <v>234</v>
      </c>
      <c r="J230" s="38">
        <f>J203</f>
        <v>343649.6738707067</v>
      </c>
      <c r="K230" s="38">
        <f>K203</f>
        <v>12224</v>
      </c>
      <c r="L230" s="38">
        <f>L203</f>
        <v>13926</v>
      </c>
      <c r="M230" s="134">
        <f t="shared" si="55"/>
        <v>13.923429319371728</v>
      </c>
      <c r="N230" s="134">
        <f t="shared" si="56"/>
        <v>4.0523827196296018</v>
      </c>
      <c r="O230" s="38">
        <f>O203</f>
        <v>402</v>
      </c>
      <c r="P230" s="38">
        <f>P203</f>
        <v>476</v>
      </c>
      <c r="Q230" s="134">
        <f t="shared" si="57"/>
        <v>18.407960199004979</v>
      </c>
      <c r="R230" s="88">
        <f>A202</f>
        <v>13</v>
      </c>
      <c r="S230" s="1">
        <v>1</v>
      </c>
    </row>
    <row r="231" spans="1:19" s="4" customFormat="1" ht="14.4" hidden="1" thickBot="1" x14ac:dyDescent="0.3">
      <c r="A231" s="148">
        <f>SUM(A223:A230)</f>
        <v>120</v>
      </c>
      <c r="B231" s="138" t="s">
        <v>204</v>
      </c>
      <c r="C231" s="56">
        <f>SUM(C223:C230)</f>
        <v>5568</v>
      </c>
      <c r="D231" s="56">
        <f>SUM(D223:D230)</f>
        <v>3616</v>
      </c>
      <c r="E231" s="56">
        <f>SUM(E223:E230)</f>
        <v>3617</v>
      </c>
      <c r="F231" s="149">
        <f t="shared" si="58"/>
        <v>2.7654867256637169E-2</v>
      </c>
      <c r="G231" s="149">
        <f t="shared" si="54"/>
        <v>64.960488505747122</v>
      </c>
      <c r="H231" s="56">
        <f>SUM(H223:H230)</f>
        <v>28679.610293215555</v>
      </c>
      <c r="I231" s="56">
        <f>SUM(I223:I230)</f>
        <v>28742.610293215555</v>
      </c>
      <c r="J231" s="56">
        <f>SUM(J223:J230)</f>
        <v>12479974.528189642</v>
      </c>
      <c r="K231" s="56">
        <f>SUM(K223:K230)</f>
        <v>5687430</v>
      </c>
      <c r="L231" s="56">
        <f>SUM(L223:L230)</f>
        <v>5847177</v>
      </c>
      <c r="M231" s="149">
        <f t="shared" si="55"/>
        <v>2.8087730310526897</v>
      </c>
      <c r="N231" s="149">
        <f t="shared" si="56"/>
        <v>46.852475434084056</v>
      </c>
      <c r="O231" s="56">
        <f>SUM(O223:O230)</f>
        <v>341164</v>
      </c>
      <c r="P231" s="56">
        <f>SUM(P223:P230)</f>
        <v>349967</v>
      </c>
      <c r="Q231" s="149">
        <f t="shared" si="57"/>
        <v>2.5802839690002464</v>
      </c>
      <c r="R231" s="132">
        <f>SUM(R223:R230)</f>
        <v>144</v>
      </c>
      <c r="S231" s="1">
        <v>1</v>
      </c>
    </row>
    <row r="232" spans="1:19" hidden="1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9" hidden="1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9" hidden="1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9" hidden="1" x14ac:dyDescent="0.25"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9" x14ac:dyDescent="0.25">
      <c r="H236" s="3"/>
      <c r="I236" s="3"/>
    </row>
    <row r="237" spans="1:19" x14ac:dyDescent="0.25">
      <c r="H237" s="3"/>
      <c r="I237" s="3"/>
    </row>
    <row r="238" spans="1:19" x14ac:dyDescent="0.25">
      <c r="H238" s="3"/>
      <c r="I238" s="3"/>
    </row>
    <row r="239" spans="1:19" x14ac:dyDescent="0.25">
      <c r="H239" s="3"/>
      <c r="I239" s="3"/>
    </row>
    <row r="240" spans="1:19" x14ac:dyDescent="0.25">
      <c r="H240" s="3"/>
      <c r="I240" s="3"/>
    </row>
    <row r="241" spans="8:13" x14ac:dyDescent="0.25">
      <c r="H241" s="3"/>
      <c r="I241" s="3"/>
    </row>
    <row r="242" spans="8:13" x14ac:dyDescent="0.25">
      <c r="H242" s="3"/>
      <c r="I242" s="3"/>
    </row>
    <row r="243" spans="8:13" x14ac:dyDescent="0.25">
      <c r="H243" s="3"/>
      <c r="I243" s="3"/>
    </row>
    <row r="244" spans="8:13" x14ac:dyDescent="0.25">
      <c r="H244" s="3"/>
      <c r="I244" s="3"/>
    </row>
    <row r="245" spans="8:13" x14ac:dyDescent="0.25">
      <c r="H245" s="3"/>
      <c r="I245" s="3"/>
    </row>
    <row r="246" spans="8:13" x14ac:dyDescent="0.25">
      <c r="H246" s="3"/>
      <c r="I246" s="3"/>
    </row>
    <row r="247" spans="8:13" x14ac:dyDescent="0.25">
      <c r="H247" s="3"/>
      <c r="I247" s="3"/>
    </row>
    <row r="248" spans="8:13" x14ac:dyDescent="0.25">
      <c r="H248" s="3"/>
      <c r="I248" s="3"/>
    </row>
    <row r="249" spans="8:13" x14ac:dyDescent="0.25">
      <c r="H249" s="3"/>
      <c r="I249" s="3"/>
    </row>
    <row r="250" spans="8:13" x14ac:dyDescent="0.25">
      <c r="H250" s="3"/>
      <c r="I250" s="3"/>
    </row>
    <row r="254" spans="8:13" x14ac:dyDescent="0.25">
      <c r="M254" s="27"/>
    </row>
    <row r="255" spans="8:13" x14ac:dyDescent="0.25">
      <c r="M255" s="27"/>
    </row>
    <row r="256" spans="8:13" x14ac:dyDescent="0.25">
      <c r="M256" s="27"/>
    </row>
    <row r="257" spans="13:13" x14ac:dyDescent="0.25">
      <c r="M257" s="27"/>
    </row>
    <row r="258" spans="13:13" x14ac:dyDescent="0.25">
      <c r="M258" s="27"/>
    </row>
    <row r="259" spans="13:13" x14ac:dyDescent="0.25">
      <c r="M259" s="27"/>
    </row>
    <row r="260" spans="13:13" x14ac:dyDescent="0.25">
      <c r="M260" s="27"/>
    </row>
    <row r="261" spans="13:13" x14ac:dyDescent="0.25">
      <c r="M261" s="27"/>
    </row>
    <row r="262" spans="13:13" x14ac:dyDescent="0.25">
      <c r="M262" s="27"/>
    </row>
  </sheetData>
  <autoFilter ref="R5:R235">
    <filterColumn colId="0">
      <filters>
        <filter val="SRSP"/>
      </filters>
    </filterColumn>
  </autoFilter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8" max="16383" man="1"/>
    <brk id="187" max="16383" man="1"/>
    <brk id="205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57"/>
  <sheetViews>
    <sheetView tabSelected="1" view="pageBreakPreview" zoomScale="80" zoomScaleSheetLayoutView="80" workbookViewId="0">
      <pane xSplit="2" ySplit="3" topLeftCell="C19" activePane="bottomRight" state="frozen"/>
      <selection activeCell="G51" sqref="G51"/>
      <selection pane="topRight" activeCell="G51" sqref="G51"/>
      <selection pane="bottomLeft" activeCell="G51" sqref="G51"/>
      <selection pane="bottomRight" activeCell="M22" sqref="M22"/>
    </sheetView>
  </sheetViews>
  <sheetFormatPr defaultColWidth="9.109375" defaultRowHeight="13.8" x14ac:dyDescent="0.3"/>
  <cols>
    <col min="1" max="1" width="30" style="74" customWidth="1"/>
    <col min="2" max="2" width="21.6640625" style="74" customWidth="1"/>
    <col min="3" max="3" width="9.6640625" style="74" bestFit="1" customWidth="1"/>
    <col min="4" max="4" width="10.6640625" style="60" bestFit="1" customWidth="1"/>
    <col min="5" max="5" width="10.6640625" style="160" bestFit="1" customWidth="1"/>
    <col min="6" max="6" width="12.6640625" style="60" customWidth="1"/>
    <col min="7" max="7" width="12.109375" style="60" bestFit="1" customWidth="1"/>
    <col min="8" max="8" width="14.6640625" style="60" customWidth="1"/>
    <col min="9" max="9" width="9.6640625" style="60" bestFit="1" customWidth="1"/>
    <col min="10" max="10" width="10.6640625" style="60" customWidth="1"/>
    <col min="11" max="11" width="12.109375" style="60" bestFit="1" customWidth="1"/>
    <col min="12" max="12" width="10.6640625" style="60" bestFit="1" customWidth="1"/>
    <col min="13" max="13" width="12.109375" style="60" bestFit="1" customWidth="1"/>
    <col min="14" max="14" width="10" style="60" bestFit="1" customWidth="1"/>
    <col min="15" max="15" width="13.109375" style="60" bestFit="1" customWidth="1"/>
    <col min="16" max="16" width="12.44140625" style="60" bestFit="1" customWidth="1"/>
    <col min="17" max="35" width="9.109375" style="60"/>
    <col min="36" max="36" width="10.88671875" style="60" bestFit="1" customWidth="1"/>
    <col min="37" max="16384" width="9.109375" style="60"/>
  </cols>
  <sheetData>
    <row r="1" spans="1:34" ht="14.4" thickBot="1" x14ac:dyDescent="0.35">
      <c r="A1" s="120" t="s">
        <v>323</v>
      </c>
      <c r="B1" s="60"/>
      <c r="C1" s="60"/>
      <c r="D1" s="75"/>
      <c r="E1" s="161"/>
      <c r="F1" s="75"/>
      <c r="G1" s="59"/>
      <c r="H1" s="59"/>
      <c r="I1" s="75"/>
      <c r="J1" s="75"/>
      <c r="K1" s="75"/>
      <c r="L1" s="75"/>
      <c r="AC1" s="60" t="s">
        <v>327</v>
      </c>
    </row>
    <row r="2" spans="1:34" s="76" customFormat="1" x14ac:dyDescent="0.25">
      <c r="A2" s="285" t="s">
        <v>0</v>
      </c>
      <c r="B2" s="286"/>
      <c r="C2" s="215" t="s">
        <v>271</v>
      </c>
      <c r="D2" s="215" t="s">
        <v>2</v>
      </c>
      <c r="E2" s="215" t="s">
        <v>3</v>
      </c>
      <c r="F2" s="215" t="s">
        <v>4</v>
      </c>
      <c r="G2" s="159" t="s">
        <v>5</v>
      </c>
      <c r="H2" s="215" t="s">
        <v>6</v>
      </c>
      <c r="I2" s="221" t="s">
        <v>7</v>
      </c>
      <c r="J2" s="215" t="s">
        <v>8</v>
      </c>
      <c r="K2" s="215" t="s">
        <v>9</v>
      </c>
      <c r="L2" s="215" t="s">
        <v>10</v>
      </c>
      <c r="M2" s="77" t="s">
        <v>16</v>
      </c>
    </row>
    <row r="3" spans="1:34" ht="13.5" customHeight="1" x14ac:dyDescent="0.3">
      <c r="A3" s="61"/>
      <c r="B3" s="62"/>
      <c r="C3" s="62"/>
      <c r="D3" s="101"/>
      <c r="E3" s="101"/>
      <c r="F3" s="101"/>
      <c r="G3" s="101"/>
      <c r="H3" s="101"/>
      <c r="I3" s="101"/>
      <c r="J3" s="101"/>
      <c r="K3" s="101"/>
      <c r="L3" s="101"/>
      <c r="M3" s="101"/>
      <c r="X3" s="63" t="str">
        <f t="shared" ref="X3:AH3" si="0">C2</f>
        <v>AJKRSP+</v>
      </c>
      <c r="Y3" s="63" t="str">
        <f t="shared" si="0"/>
        <v>AKRSP</v>
      </c>
      <c r="Z3" s="63" t="str">
        <f t="shared" si="0"/>
        <v>BRSP</v>
      </c>
      <c r="AA3" s="63" t="str">
        <f t="shared" si="0"/>
        <v>GBTI</v>
      </c>
      <c r="AB3" s="63" t="str">
        <f t="shared" si="0"/>
        <v>NRSP</v>
      </c>
      <c r="AC3" s="63" t="str">
        <f t="shared" si="0"/>
        <v>PRSP</v>
      </c>
      <c r="AD3" s="63" t="str">
        <f t="shared" si="0"/>
        <v>SGA</v>
      </c>
      <c r="AE3" s="63" t="str">
        <f t="shared" si="0"/>
        <v>SRSO</v>
      </c>
      <c r="AF3" s="63" t="str">
        <f t="shared" si="0"/>
        <v>SRSP</v>
      </c>
      <c r="AG3" s="63" t="str">
        <f t="shared" si="0"/>
        <v>TRDP</v>
      </c>
      <c r="AH3" s="63" t="str">
        <f t="shared" si="0"/>
        <v xml:space="preserve">Total </v>
      </c>
    </row>
    <row r="4" spans="1:34" s="63" customFormat="1" x14ac:dyDescent="0.3">
      <c r="A4" s="287" t="s">
        <v>220</v>
      </c>
      <c r="B4" s="287"/>
      <c r="C4" s="157">
        <f>'1.RSP Districts '!A209</f>
        <v>8</v>
      </c>
      <c r="D4" s="157">
        <f>'1.RSP Districts '!A210</f>
        <v>7</v>
      </c>
      <c r="E4" s="157">
        <f>'1.RSP Districts '!A211</f>
        <v>14</v>
      </c>
      <c r="F4" s="157">
        <f>'1.RSP Districts '!A212</f>
        <v>3</v>
      </c>
      <c r="G4" s="157">
        <f>'1.RSP Districts '!A213</f>
        <v>56</v>
      </c>
      <c r="H4" s="157">
        <f>'1.RSP Districts '!A214</f>
        <v>21</v>
      </c>
      <c r="I4" s="157">
        <f>'1.RSP Districts '!A215</f>
        <v>1</v>
      </c>
      <c r="J4" s="157">
        <f>'1.RSP Districts '!A216</f>
        <v>9</v>
      </c>
      <c r="K4" s="157">
        <f>'1.RSP Districts '!A217</f>
        <v>25</v>
      </c>
      <c r="L4" s="157">
        <f>'1.RSP Districts '!A218</f>
        <v>4</v>
      </c>
      <c r="M4" s="157">
        <f>'1.RSP Districts '!A231</f>
        <v>120</v>
      </c>
      <c r="N4" s="84"/>
      <c r="O4" s="68"/>
      <c r="X4" s="63">
        <f>C4-'2. Overall cum progress Mar Ref'!C4</f>
        <v>0</v>
      </c>
      <c r="Y4" s="63">
        <f>D4-'2. Overall cum progress Mar Ref'!D4</f>
        <v>0</v>
      </c>
      <c r="Z4" s="63">
        <f>E4-'2. Overall cum progress Mar Ref'!E4</f>
        <v>0</v>
      </c>
      <c r="AA4" s="63">
        <f>F4-'2. Overall cum progress Mar Ref'!F4</f>
        <v>0</v>
      </c>
      <c r="AB4" s="63">
        <f>G4-'2. Overall cum progress Mar Ref'!G4</f>
        <v>1</v>
      </c>
      <c r="AC4" s="63">
        <f>H4-'2. Overall cum progress Mar Ref'!H4</f>
        <v>0</v>
      </c>
      <c r="AD4" s="63">
        <f>I4-'2. Overall cum progress Mar Ref'!I4</f>
        <v>0</v>
      </c>
      <c r="AE4" s="63">
        <f>J4-'2. Overall cum progress Mar Ref'!J4</f>
        <v>0</v>
      </c>
      <c r="AF4" s="63">
        <f>K4-'2. Overall cum progress Mar Ref'!K4</f>
        <v>0</v>
      </c>
      <c r="AG4" s="63">
        <f>L4-'2. Overall cum progress Mar Ref'!L4</f>
        <v>0</v>
      </c>
      <c r="AH4" s="63">
        <f>M4-'2. Overall cum progress Mar Ref'!M4</f>
        <v>0</v>
      </c>
    </row>
    <row r="5" spans="1:34" s="63" customFormat="1" x14ac:dyDescent="0.3">
      <c r="A5" s="288" t="s">
        <v>11</v>
      </c>
      <c r="B5" s="287"/>
      <c r="C5" s="157">
        <f>'1.RSP Districts '!E209</f>
        <v>136</v>
      </c>
      <c r="D5" s="137">
        <f>'1.RSP Districts '!E210</f>
        <v>118</v>
      </c>
      <c r="E5" s="137">
        <f>'1.RSP Districts '!E211</f>
        <v>204</v>
      </c>
      <c r="F5" s="137">
        <f>'1.RSP Districts '!E212</f>
        <v>22</v>
      </c>
      <c r="G5" s="137">
        <f>'1.RSP Districts '!E213</f>
        <v>2045</v>
      </c>
      <c r="H5" s="137">
        <f>'1.RSP Districts '!E214</f>
        <v>714</v>
      </c>
      <c r="I5" s="137">
        <f>'1.RSP Districts '!E215</f>
        <v>13</v>
      </c>
      <c r="J5" s="137">
        <f>'1.RSP Districts '!E216</f>
        <v>339</v>
      </c>
      <c r="K5" s="137">
        <f>'1.RSP Districts '!E217</f>
        <v>585</v>
      </c>
      <c r="L5" s="137">
        <f>'1.RSP Districts '!E218</f>
        <v>113</v>
      </c>
      <c r="M5" s="157">
        <f>'1.RSP Districts '!E231</f>
        <v>3617</v>
      </c>
      <c r="N5" s="84">
        <f>M5-'1.RSP Districts '!E231</f>
        <v>0</v>
      </c>
      <c r="O5" s="68"/>
      <c r="X5" s="63">
        <f>C5-'2. Overall cum progress Mar Ref'!C5</f>
        <v>0</v>
      </c>
      <c r="Y5" s="63">
        <f>D5-'2. Overall cum progress Mar Ref'!D5</f>
        <v>0</v>
      </c>
      <c r="Z5" s="63">
        <f>E5-'2. Overall cum progress Mar Ref'!E5</f>
        <v>0</v>
      </c>
      <c r="AA5" s="63">
        <f>F5-'2. Overall cum progress Mar Ref'!F5</f>
        <v>0</v>
      </c>
      <c r="AB5" s="63">
        <f>G5-'2. Overall cum progress Mar Ref'!G5</f>
        <v>7</v>
      </c>
      <c r="AC5" s="63">
        <f>H5-'2. Overall cum progress Mar Ref'!H5</f>
        <v>0</v>
      </c>
      <c r="AD5" s="63">
        <f>I5-'2. Overall cum progress Mar Ref'!I5</f>
        <v>0</v>
      </c>
      <c r="AE5" s="63">
        <f>J5-'2. Overall cum progress Mar Ref'!J5</f>
        <v>1</v>
      </c>
      <c r="AF5" s="63">
        <f>K5-'2. Overall cum progress Mar Ref'!K5</f>
        <v>2</v>
      </c>
      <c r="AG5" s="63">
        <f>L5-'2. Overall cum progress Mar Ref'!L5</f>
        <v>0</v>
      </c>
      <c r="AH5" s="63">
        <f>M5-'2. Overall cum progress Mar Ref'!M5</f>
        <v>1</v>
      </c>
    </row>
    <row r="6" spans="1:34" s="63" customFormat="1" x14ac:dyDescent="0.3">
      <c r="A6" s="288" t="s">
        <v>286</v>
      </c>
      <c r="B6" s="287"/>
      <c r="C6" s="157">
        <f>'1.RSP Districts '!L209</f>
        <v>102320</v>
      </c>
      <c r="D6" s="157">
        <f>'1.RSP Districts '!L210</f>
        <v>110695</v>
      </c>
      <c r="E6" s="157">
        <f>'1.RSP Districts '!L211</f>
        <v>200245</v>
      </c>
      <c r="F6" s="157">
        <f>'1.RSP Districts '!L212</f>
        <v>34926</v>
      </c>
      <c r="G6" s="157">
        <f>'1.RSP Districts '!L213</f>
        <v>2476865</v>
      </c>
      <c r="H6" s="157">
        <f>'1.RSP Districts '!L214</f>
        <v>1267536</v>
      </c>
      <c r="I6" s="157">
        <f>'1.RSP Districts '!L215</f>
        <v>16500</v>
      </c>
      <c r="J6" s="157">
        <f>'1.RSP Districts '!L216</f>
        <v>591984</v>
      </c>
      <c r="K6" s="157">
        <f>'1.RSP Districts '!L217</f>
        <v>776062</v>
      </c>
      <c r="L6" s="157">
        <f>'1.RSP Districts '!L218</f>
        <v>270044</v>
      </c>
      <c r="M6" s="157">
        <f>SUM(C6:L6)</f>
        <v>5847177</v>
      </c>
      <c r="N6" s="85">
        <f>M6/1000000</f>
        <v>5.8471770000000003</v>
      </c>
      <c r="O6" s="67">
        <f>N6*6.5</f>
        <v>38.006650499999999</v>
      </c>
      <c r="P6" s="63">
        <f>200+90+160+54</f>
        <v>504</v>
      </c>
      <c r="X6" s="63">
        <f>C6-'2. Overall cum progress Mar Ref'!C6</f>
        <v>0</v>
      </c>
      <c r="Y6" s="63">
        <f>D6-'2. Overall cum progress Mar Ref'!D6</f>
        <v>0</v>
      </c>
      <c r="Z6" s="63">
        <f>E6-'2. Overall cum progress Mar Ref'!E6</f>
        <v>7626</v>
      </c>
      <c r="AA6" s="63">
        <f>F6-'2. Overall cum progress Mar Ref'!F6</f>
        <v>212</v>
      </c>
      <c r="AB6" s="63">
        <f>G6-'2. Overall cum progress Mar Ref'!G6</f>
        <v>81918</v>
      </c>
      <c r="AC6" s="63">
        <f>H6-'2. Overall cum progress Mar Ref'!H6</f>
        <v>38534</v>
      </c>
      <c r="AD6" s="63">
        <f>I6-'2. Overall cum progress Mar Ref'!I6</f>
        <v>0</v>
      </c>
      <c r="AE6" s="63">
        <f>J6-'2. Overall cum progress Mar Ref'!J6</f>
        <v>255</v>
      </c>
      <c r="AF6" s="267">
        <f>K6-'2. Overall cum progress Mar Ref'!K6</f>
        <v>34006</v>
      </c>
      <c r="AG6" s="63">
        <f>L6-'2. Overall cum progress Mar Ref'!L6</f>
        <v>60</v>
      </c>
      <c r="AH6" s="63">
        <f>M6-'2. Overall cum progress Mar Ref'!M6</f>
        <v>162611</v>
      </c>
    </row>
    <row r="7" spans="1:34" s="63" customFormat="1" x14ac:dyDescent="0.3">
      <c r="A7" s="288" t="s">
        <v>12</v>
      </c>
      <c r="B7" s="287"/>
      <c r="C7" s="166">
        <v>0</v>
      </c>
      <c r="D7" s="166">
        <v>59</v>
      </c>
      <c r="E7" s="166">
        <f>'[3]2. Overall cum progress June 14'!E7</f>
        <v>46</v>
      </c>
      <c r="F7" s="166">
        <v>8</v>
      </c>
      <c r="G7" s="166">
        <v>633</v>
      </c>
      <c r="H7" s="157">
        <v>48</v>
      </c>
      <c r="I7" s="225">
        <v>1</v>
      </c>
      <c r="J7" s="166">
        <v>125</v>
      </c>
      <c r="K7" s="166">
        <v>110</v>
      </c>
      <c r="L7" s="166">
        <f>'[8]2. Overall cum progress June 14'!L7</f>
        <v>41</v>
      </c>
      <c r="M7" s="157">
        <f>SUM(C7:L7)</f>
        <v>1071</v>
      </c>
      <c r="N7" s="84"/>
      <c r="O7" s="68"/>
      <c r="P7" s="63">
        <f>266298-265794</f>
        <v>504</v>
      </c>
      <c r="X7" s="63">
        <f>C7-'2. Overall cum progress Mar Ref'!C7</f>
        <v>-33</v>
      </c>
      <c r="Y7" s="63">
        <f>D7-'2. Overall cum progress Mar Ref'!D7</f>
        <v>0</v>
      </c>
      <c r="Z7" s="63">
        <f>E7-'2. Overall cum progress Mar Ref'!E7</f>
        <v>0</v>
      </c>
      <c r="AA7" s="63">
        <f>F7-'2. Overall cum progress Mar Ref'!F7</f>
        <v>0</v>
      </c>
      <c r="AB7" s="63">
        <f>G7-'2. Overall cum progress Mar Ref'!G7</f>
        <v>105</v>
      </c>
      <c r="AC7" s="63">
        <f>H7-'2. Overall cum progress Mar Ref'!H7</f>
        <v>14</v>
      </c>
      <c r="AD7" s="63">
        <f>I7-'2. Overall cum progress Mar Ref'!I7</f>
        <v>0</v>
      </c>
      <c r="AE7" s="63">
        <f>J7-'2. Overall cum progress Mar Ref'!J7</f>
        <v>0</v>
      </c>
      <c r="AF7" s="63">
        <f>K7-'2. Overall cum progress Mar Ref'!K7</f>
        <v>9</v>
      </c>
      <c r="AG7" s="63">
        <f>L7-'2. Overall cum progress Mar Ref'!L7</f>
        <v>2</v>
      </c>
      <c r="AH7" s="63">
        <f>M7-'2. Overall cum progress Mar Ref'!M7</f>
        <v>97</v>
      </c>
    </row>
    <row r="8" spans="1:34" s="63" customFormat="1" x14ac:dyDescent="0.3">
      <c r="A8" s="284" t="s">
        <v>287</v>
      </c>
      <c r="B8" s="110" t="s">
        <v>13</v>
      </c>
      <c r="C8" s="157">
        <f>'2. Overall cum progress Mar Ref'!C8</f>
        <v>1577</v>
      </c>
      <c r="D8" s="157">
        <f>'2. Overall cum progress Mar Ref'!D8</f>
        <v>2171</v>
      </c>
      <c r="E8" s="166">
        <f>'[3]2. Overall cum progress June 14'!E8</f>
        <v>3636</v>
      </c>
      <c r="F8" s="166">
        <f>'[7]2. Overall cum progress June 14'!F8</f>
        <v>1725</v>
      </c>
      <c r="G8" s="167">
        <v>77097</v>
      </c>
      <c r="H8" s="157">
        <f>'[11]2. Overall com progres June-14'!H8</f>
        <v>31337</v>
      </c>
      <c r="I8" s="154">
        <v>410</v>
      </c>
      <c r="J8" s="166">
        <f>'[10]2. Overall cum progress June 14'!J8</f>
        <v>32882</v>
      </c>
      <c r="K8" s="166">
        <v>10186</v>
      </c>
      <c r="L8" s="166">
        <f>'[8]2. Overall cum progress June 14'!L8</f>
        <v>8642</v>
      </c>
      <c r="M8" s="157">
        <f>SUM(C8:L8)</f>
        <v>169663</v>
      </c>
      <c r="N8" s="85">
        <f>M8/M11%</f>
        <v>48.479713801587003</v>
      </c>
      <c r="O8" s="68"/>
      <c r="P8" s="63" t="s">
        <v>242</v>
      </c>
      <c r="X8" s="63">
        <f>C8-'2. Overall cum progress Mar Ref'!C8</f>
        <v>0</v>
      </c>
      <c r="Y8" s="63">
        <f>D8-'2. Overall cum progress Mar Ref'!D8</f>
        <v>0</v>
      </c>
      <c r="Z8" s="63">
        <f>E8-'2. Overall cum progress Mar Ref'!E8</f>
        <v>101</v>
      </c>
      <c r="AA8" s="63">
        <f>F8-'2. Overall cum progress Mar Ref'!F8</f>
        <v>16</v>
      </c>
      <c r="AB8" s="63">
        <f>G8-'2. Overall cum progress Mar Ref'!G8</f>
        <v>2986</v>
      </c>
      <c r="AC8" s="63">
        <f>H8-'2. Overall cum progress Mar Ref'!H8</f>
        <v>909</v>
      </c>
      <c r="AD8" s="63">
        <f>I8-'2. Overall cum progress Mar Ref'!I8</f>
        <v>0</v>
      </c>
      <c r="AE8" s="63">
        <f>J8-'2. Overall cum progress Mar Ref'!J8</f>
        <v>16</v>
      </c>
      <c r="AF8" s="63">
        <f>K8-'2. Overall cum progress Mar Ref'!K8</f>
        <v>338</v>
      </c>
      <c r="AG8" s="63">
        <f>L8-'2. Overall cum progress Mar Ref'!L8</f>
        <v>3</v>
      </c>
      <c r="AH8" s="63">
        <f>M8-'2. Overall cum progress Mar Ref'!M8</f>
        <v>4369</v>
      </c>
    </row>
    <row r="9" spans="1:34" s="63" customFormat="1" x14ac:dyDescent="0.3">
      <c r="A9" s="284"/>
      <c r="B9" s="111" t="s">
        <v>14</v>
      </c>
      <c r="C9" s="157">
        <f>'2. Overall cum progress Mar Ref'!C9</f>
        <v>2138</v>
      </c>
      <c r="D9" s="157">
        <f>'2. Overall cum progress Mar Ref'!D9</f>
        <v>2893</v>
      </c>
      <c r="E9" s="166">
        <f>'[3]2. Overall cum progress June 14'!E9</f>
        <v>8310</v>
      </c>
      <c r="F9" s="166">
        <f>'[7]2. Overall cum progress June 14'!F9</f>
        <v>1420</v>
      </c>
      <c r="G9" s="167">
        <v>75591</v>
      </c>
      <c r="H9" s="157">
        <f>'[11]2. Overall com progres June-14'!H9</f>
        <v>43866</v>
      </c>
      <c r="I9" s="154">
        <v>450</v>
      </c>
      <c r="J9" s="166">
        <f>'[10]2. Overall cum progress June 14'!J9</f>
        <v>4159</v>
      </c>
      <c r="K9" s="166">
        <v>21634</v>
      </c>
      <c r="L9" s="166">
        <f>'[8]2. Overall cum progress June 14'!L9</f>
        <v>5833</v>
      </c>
      <c r="M9" s="157">
        <f>SUM(C9:L9)</f>
        <v>166294</v>
      </c>
      <c r="N9" s="84"/>
      <c r="O9" s="68"/>
      <c r="P9" s="63">
        <v>19</v>
      </c>
      <c r="Q9" s="63">
        <f>P9*18</f>
        <v>342</v>
      </c>
      <c r="X9" s="63">
        <f>C9-'2. Overall cum progress Mar Ref'!C9</f>
        <v>0</v>
      </c>
      <c r="Y9" s="63">
        <f>D9-'2. Overall cum progress Mar Ref'!D9</f>
        <v>0</v>
      </c>
      <c r="Z9" s="63">
        <f>E9-'2. Overall cum progress Mar Ref'!E9</f>
        <v>169</v>
      </c>
      <c r="AA9" s="63">
        <f>F9-'2. Overall cum progress Mar Ref'!F9</f>
        <v>0</v>
      </c>
      <c r="AB9" s="63">
        <f>G9-'2. Overall cum progress Mar Ref'!G9</f>
        <v>1511</v>
      </c>
      <c r="AC9" s="63">
        <f>H9-'2. Overall cum progress Mar Ref'!H9</f>
        <v>1023</v>
      </c>
      <c r="AD9" s="63">
        <f>I9-'2. Overall cum progress Mar Ref'!I9</f>
        <v>0</v>
      </c>
      <c r="AE9" s="63">
        <f>J9-'2. Overall cum progress Mar Ref'!J9</f>
        <v>0</v>
      </c>
      <c r="AF9" s="63">
        <f>K9-'2. Overall cum progress Mar Ref'!K9</f>
        <v>1016</v>
      </c>
      <c r="AG9" s="63">
        <f>L9-'2. Overall cum progress Mar Ref'!L9</f>
        <v>0</v>
      </c>
      <c r="AH9" s="63">
        <f>M9-'2. Overall cum progress Mar Ref'!M9</f>
        <v>3719</v>
      </c>
    </row>
    <row r="10" spans="1:34" s="63" customFormat="1" x14ac:dyDescent="0.3">
      <c r="A10" s="284"/>
      <c r="B10" s="111" t="s">
        <v>15</v>
      </c>
      <c r="C10" s="157">
        <f>'2. Overall cum progress Mar Ref'!C10</f>
        <v>1035</v>
      </c>
      <c r="D10" s="157">
        <f>'2. Overall cum progress Mar Ref'!D10</f>
        <v>0</v>
      </c>
      <c r="E10" s="166">
        <f>'[3]2. Overall cum progress June 14'!E10</f>
        <v>54</v>
      </c>
      <c r="F10" s="166">
        <f>'[7]2. Overall cum progress June 14'!F10</f>
        <v>0</v>
      </c>
      <c r="G10" s="167">
        <v>10808</v>
      </c>
      <c r="H10" s="157">
        <f>'[11]2. Overall com progres June-14'!H10</f>
        <v>0</v>
      </c>
      <c r="I10" s="154"/>
      <c r="J10" s="166">
        <f>'[10]2. Overall cum progress June 14'!J10</f>
        <v>40</v>
      </c>
      <c r="K10" s="166">
        <v>102</v>
      </c>
      <c r="L10" s="166">
        <f>'[8]2. Overall cum progress June 14'!L10</f>
        <v>1971</v>
      </c>
      <c r="M10" s="157">
        <f>SUM(C10:L10)</f>
        <v>14010</v>
      </c>
      <c r="N10" s="84" t="e">
        <f>(M11-N11)/N11%</f>
        <v>#DIV/0!</v>
      </c>
      <c r="O10" s="68"/>
      <c r="P10" s="63">
        <v>6</v>
      </c>
      <c r="Q10" s="63">
        <v>120</v>
      </c>
      <c r="X10" s="63">
        <f>C10-'2. Overall cum progress Mar Ref'!C10</f>
        <v>0</v>
      </c>
      <c r="Y10" s="63">
        <f>D10-'2. Overall cum progress Mar Ref'!D10</f>
        <v>0</v>
      </c>
      <c r="Z10" s="63">
        <f>E10-'2. Overall cum progress Mar Ref'!E10</f>
        <v>0</v>
      </c>
      <c r="AA10" s="63">
        <f>F10-'2. Overall cum progress Mar Ref'!F10</f>
        <v>0</v>
      </c>
      <c r="AB10" s="63">
        <f>G10-'2. Overall cum progress Mar Ref'!G10</f>
        <v>715</v>
      </c>
      <c r="AC10" s="63">
        <f>H10-'2. Overall cum progress Mar Ref'!H10</f>
        <v>0</v>
      </c>
      <c r="AD10" s="63">
        <f>I10-'2. Overall cum progress Mar Ref'!I10</f>
        <v>0</v>
      </c>
      <c r="AE10" s="63">
        <f>J10-'2. Overall cum progress Mar Ref'!J10</f>
        <v>0</v>
      </c>
      <c r="AF10" s="63">
        <f>K10-'2. Overall cum progress Mar Ref'!K10</f>
        <v>0</v>
      </c>
      <c r="AG10" s="63">
        <f>L10-'2. Overall cum progress Mar Ref'!L10</f>
        <v>0</v>
      </c>
      <c r="AH10" s="63">
        <f>M10-'2. Overall cum progress Mar Ref'!M10</f>
        <v>715</v>
      </c>
    </row>
    <row r="11" spans="1:34" s="63" customFormat="1" x14ac:dyDescent="0.3">
      <c r="A11" s="284"/>
      <c r="B11" s="112" t="s">
        <v>16</v>
      </c>
      <c r="C11" s="158">
        <f>SUM(C8:C10)</f>
        <v>4750</v>
      </c>
      <c r="D11" s="158">
        <f t="shared" ref="D11:L11" si="1">SUM(D8:D10)</f>
        <v>5064</v>
      </c>
      <c r="E11" s="158">
        <f t="shared" si="1"/>
        <v>12000</v>
      </c>
      <c r="F11" s="158">
        <f t="shared" ref="F11:G11" si="2">SUM(F8:F10)</f>
        <v>3145</v>
      </c>
      <c r="G11" s="158">
        <f t="shared" si="2"/>
        <v>163496</v>
      </c>
      <c r="H11" s="158">
        <f t="shared" ref="H11" si="3">SUM(H8:H10)</f>
        <v>75203</v>
      </c>
      <c r="I11" s="158">
        <f t="shared" si="1"/>
        <v>860</v>
      </c>
      <c r="J11" s="158">
        <f t="shared" si="1"/>
        <v>37081</v>
      </c>
      <c r="K11" s="157">
        <f t="shared" si="1"/>
        <v>31922</v>
      </c>
      <c r="L11" s="222">
        <f t="shared" si="1"/>
        <v>16446</v>
      </c>
      <c r="M11" s="158">
        <f>SUM(M8:M10)</f>
        <v>349967</v>
      </c>
      <c r="N11" s="84"/>
      <c r="O11" s="68">
        <f>L11-16178</f>
        <v>268</v>
      </c>
      <c r="P11" s="63">
        <v>2</v>
      </c>
      <c r="Q11" s="63">
        <v>40</v>
      </c>
      <c r="X11" s="63">
        <f>C11-'2. Overall cum progress Mar Ref'!C11</f>
        <v>0</v>
      </c>
      <c r="Y11" s="63">
        <f>D11-'2. Overall cum progress Mar Ref'!D11</f>
        <v>0</v>
      </c>
      <c r="Z11" s="63">
        <f>E11-'2. Overall cum progress Mar Ref'!E11</f>
        <v>270</v>
      </c>
      <c r="AA11" s="63">
        <f>F11-'2. Overall cum progress Mar Ref'!F11</f>
        <v>16</v>
      </c>
      <c r="AB11" s="63">
        <f>G11-'2. Overall cum progress Mar Ref'!G11</f>
        <v>5212</v>
      </c>
      <c r="AC11" s="63">
        <f>H11-'2. Overall cum progress Mar Ref'!H11</f>
        <v>1932</v>
      </c>
      <c r="AD11" s="63">
        <f>I11-'2. Overall cum progress Mar Ref'!I11</f>
        <v>0</v>
      </c>
      <c r="AE11" s="63">
        <f>J11-'2. Overall cum progress Mar Ref'!J11</f>
        <v>16</v>
      </c>
      <c r="AF11" s="63">
        <f>K11-'2. Overall cum progress Mar Ref'!K11</f>
        <v>1354</v>
      </c>
      <c r="AG11" s="63">
        <f>L11-'2. Overall cum progress Mar Ref'!L11</f>
        <v>3</v>
      </c>
      <c r="AH11" s="63">
        <f>M11-'2. Overall cum progress Mar Ref'!M11</f>
        <v>8803</v>
      </c>
    </row>
    <row r="12" spans="1:34" s="63" customFormat="1" x14ac:dyDescent="0.3">
      <c r="A12" s="289" t="s">
        <v>302</v>
      </c>
      <c r="B12" s="110" t="s">
        <v>17</v>
      </c>
      <c r="C12" s="157">
        <f>'2. Overall cum progress Mar Ref'!C12</f>
        <v>44063</v>
      </c>
      <c r="D12" s="157">
        <f>'2. Overall cum progress Mar Ref'!D12</f>
        <v>84455</v>
      </c>
      <c r="E12" s="166">
        <f>'[3]2. Overall cum progress June 14'!E12</f>
        <v>60372</v>
      </c>
      <c r="F12" s="166">
        <f>'[7]2. Overall cum progress June 14'!F12</f>
        <v>28702</v>
      </c>
      <c r="G12" s="167">
        <v>1368055</v>
      </c>
      <c r="H12" s="157">
        <f>'[11]2. Overall com progres June-14'!H12</f>
        <v>521173</v>
      </c>
      <c r="I12" s="154">
        <v>10845</v>
      </c>
      <c r="J12" s="166">
        <f>'[10]2. Overall cum progress June 14'!J12</f>
        <v>553322</v>
      </c>
      <c r="K12" s="166">
        <v>244560</v>
      </c>
      <c r="L12" s="166">
        <f>'[8]2. Overall cum progress June 14'!L12</f>
        <v>178534</v>
      </c>
      <c r="M12" s="157">
        <f>SUM(C12:L12)</f>
        <v>3094081</v>
      </c>
      <c r="N12" s="116">
        <f>M12/M14%</f>
        <v>51.354919428498114</v>
      </c>
      <c r="O12" s="68"/>
      <c r="Q12" s="63">
        <f>SUM(Q9:Q11)</f>
        <v>502</v>
      </c>
      <c r="X12" s="63">
        <f>C12-'2. Overall cum progress Mar Ref'!C12</f>
        <v>0</v>
      </c>
      <c r="Y12" s="63">
        <f>D12-'2. Overall cum progress Mar Ref'!D12</f>
        <v>0</v>
      </c>
      <c r="Z12" s="63">
        <f>E12-'2. Overall cum progress Mar Ref'!E12</f>
        <v>1576</v>
      </c>
      <c r="AA12" s="63">
        <f>F12-'2. Overall cum progress Mar Ref'!F12</f>
        <v>233</v>
      </c>
      <c r="AB12" s="63">
        <f>G12-'2. Overall cum progress Mar Ref'!G12</f>
        <v>56299</v>
      </c>
      <c r="AC12" s="63">
        <f>H12-'2. Overall cum progress Mar Ref'!H12</f>
        <v>19430</v>
      </c>
      <c r="AD12" s="63">
        <f>I12-'2. Overall cum progress Mar Ref'!I12</f>
        <v>0</v>
      </c>
      <c r="AE12" s="63">
        <f>J12-'2. Overall cum progress Mar Ref'!J12</f>
        <v>255</v>
      </c>
      <c r="AF12" s="63">
        <f>K12-'2. Overall cum progress Mar Ref'!K12</f>
        <v>8157</v>
      </c>
      <c r="AG12" s="63">
        <f>L12-'2. Overall cum progress Mar Ref'!L12</f>
        <v>60</v>
      </c>
      <c r="AH12" s="63">
        <f>M12-'2. Overall cum progress Mar Ref'!M12</f>
        <v>86010</v>
      </c>
    </row>
    <row r="13" spans="1:34" s="63" customFormat="1" x14ac:dyDescent="0.3">
      <c r="A13" s="289"/>
      <c r="B13" s="111" t="s">
        <v>18</v>
      </c>
      <c r="C13" s="157">
        <f>'2. Overall cum progress Mar Ref'!C13</f>
        <v>58257</v>
      </c>
      <c r="D13" s="157">
        <f>'2. Overall cum progress Mar Ref'!D13</f>
        <v>121509</v>
      </c>
      <c r="E13" s="166">
        <f>'[3]2. Overall cum progress June 14'!E13</f>
        <v>136439</v>
      </c>
      <c r="F13" s="166">
        <f>'[7]2. Overall cum progress June 14'!F13</f>
        <v>26262</v>
      </c>
      <c r="G13" s="167">
        <v>1108810</v>
      </c>
      <c r="H13" s="157">
        <f>'[11]2. Overall com progres June-14'!H13</f>
        <v>756365</v>
      </c>
      <c r="I13" s="154">
        <v>11348</v>
      </c>
      <c r="J13" s="166">
        <f>'[10]2. Overall cum progress June 14'!J13</f>
        <v>38662</v>
      </c>
      <c r="K13" s="166">
        <v>531502</v>
      </c>
      <c r="L13" s="166">
        <f>'[8]2. Overall cum progress June 14'!L13</f>
        <v>141662</v>
      </c>
      <c r="M13" s="157">
        <f>SUM(C13:L13)</f>
        <v>2930816</v>
      </c>
      <c r="N13" s="84"/>
      <c r="O13" s="68"/>
      <c r="X13" s="63">
        <f>C13-'2. Overall cum progress Mar Ref'!C13</f>
        <v>0</v>
      </c>
      <c r="Y13" s="63">
        <f>D13-'2. Overall cum progress Mar Ref'!D13</f>
        <v>0</v>
      </c>
      <c r="Z13" s="63">
        <f>E13-'2. Overall cum progress Mar Ref'!E13</f>
        <v>2661</v>
      </c>
      <c r="AA13" s="63">
        <f>F13-'2. Overall cum progress Mar Ref'!F13</f>
        <v>0</v>
      </c>
      <c r="AB13" s="63">
        <f>G13-'2. Overall cum progress Mar Ref'!G13</f>
        <v>25819</v>
      </c>
      <c r="AC13" s="63">
        <f>H13-'2. Overall cum progress Mar Ref'!H13</f>
        <v>18888</v>
      </c>
      <c r="AD13" s="63">
        <f>I13-'2. Overall cum progress Mar Ref'!I13</f>
        <v>0</v>
      </c>
      <c r="AE13" s="63">
        <f>J13-'2. Overall cum progress Mar Ref'!J13</f>
        <v>0</v>
      </c>
      <c r="AF13" s="63">
        <f>K13-'2. Overall cum progress Mar Ref'!K13</f>
        <v>25849</v>
      </c>
      <c r="AG13" s="63">
        <f>L13-'2. Overall cum progress Mar Ref'!L13</f>
        <v>0</v>
      </c>
      <c r="AH13" s="63">
        <f>M13-'2. Overall cum progress Mar Ref'!M13</f>
        <v>73217</v>
      </c>
    </row>
    <row r="14" spans="1:34" s="63" customFormat="1" x14ac:dyDescent="0.3">
      <c r="A14" s="289"/>
      <c r="B14" s="113" t="s">
        <v>16</v>
      </c>
      <c r="C14" s="158">
        <f>SUM(C12:C13)</f>
        <v>102320</v>
      </c>
      <c r="D14" s="158">
        <f t="shared" ref="D14:M14" si="4">SUM(D12:D13)</f>
        <v>205964</v>
      </c>
      <c r="E14" s="158">
        <f t="shared" si="4"/>
        <v>196811</v>
      </c>
      <c r="F14" s="158">
        <f t="shared" ref="F14:G14" si="5">SUM(F12:F13)</f>
        <v>54964</v>
      </c>
      <c r="G14" s="158">
        <f t="shared" si="5"/>
        <v>2476865</v>
      </c>
      <c r="H14" s="158">
        <f t="shared" ref="H14" si="6">SUM(H12:H13)</f>
        <v>1277538</v>
      </c>
      <c r="I14" s="158">
        <f t="shared" si="4"/>
        <v>22193</v>
      </c>
      <c r="J14" s="158">
        <f t="shared" si="4"/>
        <v>591984</v>
      </c>
      <c r="K14" s="157">
        <f>SUM(K12:K13)</f>
        <v>776062</v>
      </c>
      <c r="L14" s="158">
        <f t="shared" si="4"/>
        <v>320196</v>
      </c>
      <c r="M14" s="158">
        <f t="shared" si="4"/>
        <v>6024897</v>
      </c>
      <c r="N14" s="85">
        <f>M14/1000000</f>
        <v>6.0248970000000002</v>
      </c>
      <c r="O14" s="68">
        <f>L14-314221</f>
        <v>5975</v>
      </c>
      <c r="T14" s="63">
        <f>E12/E8</f>
        <v>16.603960396039604</v>
      </c>
      <c r="X14" s="63">
        <f>C14-'2. Overall cum progress Mar Ref'!C14</f>
        <v>0</v>
      </c>
      <c r="Y14" s="63">
        <f>D14-'2. Overall cum progress Mar Ref'!D14</f>
        <v>0</v>
      </c>
      <c r="Z14" s="63">
        <f>E14-'2. Overall cum progress Mar Ref'!E14</f>
        <v>4237</v>
      </c>
      <c r="AA14" s="63">
        <f>F14-'2. Overall cum progress Mar Ref'!F14</f>
        <v>233</v>
      </c>
      <c r="AB14" s="63">
        <f>G14-'2. Overall cum progress Mar Ref'!G14</f>
        <v>82118</v>
      </c>
      <c r="AC14" s="63">
        <f>H14-'2. Overall cum progress Mar Ref'!H14</f>
        <v>38318</v>
      </c>
      <c r="AD14" s="63">
        <f>I14-'2. Overall cum progress Mar Ref'!I14</f>
        <v>0</v>
      </c>
      <c r="AE14" s="63">
        <f>J14-'2. Overall cum progress Mar Ref'!J14</f>
        <v>255</v>
      </c>
      <c r="AF14" s="63">
        <f>K14-'2. Overall cum progress Mar Ref'!K14</f>
        <v>34006</v>
      </c>
      <c r="AG14" s="63">
        <f>L14-'2. Overall cum progress Mar Ref'!L14</f>
        <v>60</v>
      </c>
      <c r="AH14" s="63">
        <f>M14-'2. Overall cum progress Mar Ref'!M14</f>
        <v>159227</v>
      </c>
    </row>
    <row r="15" spans="1:34" s="67" customFormat="1" x14ac:dyDescent="0.3">
      <c r="A15" s="290" t="s">
        <v>223</v>
      </c>
      <c r="B15" s="114" t="s">
        <v>17</v>
      </c>
      <c r="C15" s="157">
        <f>'2. Overall cum progress Mar Ref'!C15</f>
        <v>24.064</v>
      </c>
      <c r="D15" s="157">
        <f>'2. Overall cum progress Mar Ref'!D15</f>
        <v>129.43899999999999</v>
      </c>
      <c r="E15" s="166">
        <f>'[3]2. Overall cum progress June 14'!E15</f>
        <v>5.45</v>
      </c>
      <c r="F15" s="166">
        <f>'[7]2. Overall cum progress June 14'!F15</f>
        <v>4.3</v>
      </c>
      <c r="G15" s="167">
        <v>239.5</v>
      </c>
      <c r="H15" s="157">
        <f>'[11]2. Overall com progres June-14'!H15</f>
        <v>81.551000000000002</v>
      </c>
      <c r="I15" s="154">
        <v>0</v>
      </c>
      <c r="J15" s="166">
        <f>'[10]2. Overall cum progress June 14'!J15</f>
        <v>110</v>
      </c>
      <c r="K15" s="166">
        <v>38.51</v>
      </c>
      <c r="L15" s="166">
        <f>'[8]2. Overall cum progress June 14'!L15</f>
        <v>82.540209999999988</v>
      </c>
      <c r="M15" s="157">
        <f>SUM(C15:L15)</f>
        <v>715.35420999999997</v>
      </c>
      <c r="N15" s="84"/>
      <c r="O15" s="68"/>
      <c r="P15" s="67">
        <v>742335</v>
      </c>
      <c r="T15" s="67">
        <f>E13/E9</f>
        <v>16.418652226233455</v>
      </c>
      <c r="X15" s="63">
        <f>C15-'2. Overall cum progress Mar Ref'!C15</f>
        <v>0</v>
      </c>
      <c r="Y15" s="63">
        <f>D15-'2. Overall cum progress Mar Ref'!D15</f>
        <v>0</v>
      </c>
      <c r="Z15" s="63">
        <f>E15-'2. Overall cum progress Mar Ref'!E15</f>
        <v>0</v>
      </c>
      <c r="AA15" s="63">
        <f>F15-'2. Overall cum progress Mar Ref'!F15</f>
        <v>0</v>
      </c>
      <c r="AB15" s="63">
        <f>G15-'2. Overall cum progress Mar Ref'!G15</f>
        <v>4.75</v>
      </c>
      <c r="AC15" s="63">
        <f>H15-'2. Overall cum progress Mar Ref'!H15</f>
        <v>9.8400000000000034</v>
      </c>
      <c r="AD15" s="63">
        <f>I15-'2. Overall cum progress Mar Ref'!I15</f>
        <v>0</v>
      </c>
      <c r="AE15" s="63">
        <f>J15-'2. Overall cum progress Mar Ref'!J15</f>
        <v>0</v>
      </c>
      <c r="AF15" s="63">
        <f>K15-'2. Overall cum progress Mar Ref'!K15</f>
        <v>1.2929930849999494E-2</v>
      </c>
      <c r="AG15" s="63">
        <f>L15-'2. Overall cum progress Mar Ref'!L15</f>
        <v>0</v>
      </c>
      <c r="AH15" s="63">
        <f>M15-'2. Overall cum progress Mar Ref'!M15</f>
        <v>14.602929930849996</v>
      </c>
    </row>
    <row r="16" spans="1:34" s="67" customFormat="1" x14ac:dyDescent="0.3">
      <c r="A16" s="290"/>
      <c r="B16" s="108" t="s">
        <v>18</v>
      </c>
      <c r="C16" s="157">
        <f>'2. Overall cum progress Mar Ref'!C16</f>
        <v>11.851000000000001</v>
      </c>
      <c r="D16" s="157">
        <f>'2. Overall cum progress Mar Ref'!D16</f>
        <v>371.08199999999999</v>
      </c>
      <c r="E16" s="166">
        <f>'[3]2. Overall cum progress June 14'!E16</f>
        <v>8.7799999999999994</v>
      </c>
      <c r="F16" s="166">
        <f>'[7]2. Overall cum progress June 14'!F16</f>
        <v>5.0999999999999996</v>
      </c>
      <c r="G16" s="167">
        <v>1202.5899999999999</v>
      </c>
      <c r="H16" s="157">
        <f>'[11]2. Overall com progres June-14'!H16</f>
        <v>81.003</v>
      </c>
      <c r="I16" s="154">
        <v>1</v>
      </c>
      <c r="J16" s="166">
        <f>'[10]2. Overall cum progress June 14'!J16</f>
        <v>7</v>
      </c>
      <c r="K16" s="166">
        <v>102.87</v>
      </c>
      <c r="L16" s="166">
        <f>'[8]2. Overall cum progress June 14'!L16</f>
        <v>120.445775</v>
      </c>
      <c r="M16" s="157">
        <f>SUM(C16:L16)</f>
        <v>1911.7217749999998</v>
      </c>
      <c r="N16" s="84"/>
      <c r="O16" s="68"/>
      <c r="P16" s="67">
        <f>P15/1000000</f>
        <v>0.74233499999999997</v>
      </c>
      <c r="X16" s="63">
        <f>C16-'2. Overall cum progress Mar Ref'!C16</f>
        <v>0</v>
      </c>
      <c r="Y16" s="63">
        <f>D16-'2. Overall cum progress Mar Ref'!D16</f>
        <v>0</v>
      </c>
      <c r="Z16" s="63">
        <f>E16-'2. Overall cum progress Mar Ref'!E16</f>
        <v>0</v>
      </c>
      <c r="AA16" s="63">
        <f>F16-'2. Overall cum progress Mar Ref'!F16</f>
        <v>0</v>
      </c>
      <c r="AB16" s="63">
        <f>G16-'2. Overall cum progress Mar Ref'!G16</f>
        <v>66.269999999999982</v>
      </c>
      <c r="AC16" s="63">
        <f>H16-'2. Overall cum progress Mar Ref'!H16</f>
        <v>8.8629999999999995</v>
      </c>
      <c r="AD16" s="63">
        <f>I16-'2. Overall cum progress Mar Ref'!I16</f>
        <v>0</v>
      </c>
      <c r="AE16" s="63">
        <f>J16-'2. Overall cum progress Mar Ref'!J16</f>
        <v>0</v>
      </c>
      <c r="AF16" s="63">
        <f>K16-'2. Overall cum progress Mar Ref'!K16</f>
        <v>2.086339702464997</v>
      </c>
      <c r="AG16" s="63">
        <f>L16-'2. Overall cum progress Mar Ref'!L16</f>
        <v>0</v>
      </c>
      <c r="AH16" s="63">
        <f>M16-'2. Overall cum progress Mar Ref'!M16</f>
        <v>77.219339702464822</v>
      </c>
    </row>
    <row r="17" spans="1:34" s="67" customFormat="1" x14ac:dyDescent="0.3">
      <c r="A17" s="290"/>
      <c r="B17" s="113" t="s">
        <v>16</v>
      </c>
      <c r="C17" s="158">
        <f>SUM(C15:C16)</f>
        <v>35.914999999999999</v>
      </c>
      <c r="D17" s="158">
        <f t="shared" ref="D17:M17" si="7">SUM(D15:D16)</f>
        <v>500.52099999999996</v>
      </c>
      <c r="E17" s="158">
        <f t="shared" si="7"/>
        <v>14.23</v>
      </c>
      <c r="F17" s="158">
        <f t="shared" ref="F17:H17" si="8">SUM(F15:F16)</f>
        <v>9.3999999999999986</v>
      </c>
      <c r="G17" s="158">
        <f t="shared" si="8"/>
        <v>1442.09</v>
      </c>
      <c r="H17" s="158">
        <f t="shared" si="8"/>
        <v>162.554</v>
      </c>
      <c r="I17" s="158">
        <f t="shared" si="7"/>
        <v>1</v>
      </c>
      <c r="J17" s="158">
        <f t="shared" si="7"/>
        <v>117</v>
      </c>
      <c r="K17" s="268">
        <f>SUM(K15:K16)</f>
        <v>141.38</v>
      </c>
      <c r="L17" s="165">
        <f t="shared" ref="L17" si="9">SUM(L15:L16)</f>
        <v>202.98598499999997</v>
      </c>
      <c r="M17" s="158">
        <f t="shared" si="7"/>
        <v>2627.0759849999995</v>
      </c>
      <c r="N17" s="84"/>
      <c r="O17" s="68"/>
      <c r="X17" s="63">
        <f>C17-'2. Overall cum progress Mar Ref'!C17</f>
        <v>0</v>
      </c>
      <c r="Y17" s="63">
        <f>D17-'2. Overall cum progress Mar Ref'!D17</f>
        <v>0</v>
      </c>
      <c r="Z17" s="63">
        <f>E17-'2. Overall cum progress Mar Ref'!E17</f>
        <v>0</v>
      </c>
      <c r="AA17" s="63">
        <f>F17-'2. Overall cum progress Mar Ref'!F17</f>
        <v>0</v>
      </c>
      <c r="AB17" s="63">
        <f>G17-'2. Overall cum progress Mar Ref'!G17</f>
        <v>71.019999999999982</v>
      </c>
      <c r="AC17" s="63">
        <f>H17-'2. Overall cum progress Mar Ref'!H17</f>
        <v>18.703000000000003</v>
      </c>
      <c r="AD17" s="63">
        <f>I17-'2. Overall cum progress Mar Ref'!I17</f>
        <v>0</v>
      </c>
      <c r="AE17" s="63">
        <f>J17-'2. Overall cum progress Mar Ref'!J17</f>
        <v>0</v>
      </c>
      <c r="AF17" s="63">
        <f>K17-'2. Overall cum progress Mar Ref'!K17</f>
        <v>2.0992696333149752</v>
      </c>
      <c r="AG17" s="63">
        <f>L17-'2. Overall cum progress Mar Ref'!L17</f>
        <v>0</v>
      </c>
      <c r="AH17" s="63">
        <f>M17-'2. Overall cum progress Mar Ref'!M17</f>
        <v>91.82226963331459</v>
      </c>
    </row>
    <row r="18" spans="1:34" s="63" customFormat="1" x14ac:dyDescent="0.3">
      <c r="A18" s="284" t="s">
        <v>19</v>
      </c>
      <c r="B18" s="110" t="s">
        <v>17</v>
      </c>
      <c r="C18" s="157">
        <f>'2. Overall cum progress Mar Ref'!C18</f>
        <v>10954</v>
      </c>
      <c r="D18" s="157">
        <f>'2. Overall cum progress Mar Ref'!D18</f>
        <v>58754</v>
      </c>
      <c r="E18" s="166">
        <f>'[3]2. Overall cum progress June 14'!E18</f>
        <v>50690</v>
      </c>
      <c r="F18" s="166">
        <f>'[7]2. Overall cum progress June 14'!F18</f>
        <v>12657</v>
      </c>
      <c r="G18" s="167">
        <v>1389753</v>
      </c>
      <c r="H18" s="157">
        <f>'[11]2. Overall com progres June-14'!H18</f>
        <v>146546</v>
      </c>
      <c r="I18" s="154">
        <v>4830</v>
      </c>
      <c r="J18" s="166">
        <f>'[10]2. Overall cum progress June 14'!J18</f>
        <v>232032</v>
      </c>
      <c r="K18" s="166">
        <f>'[4]2. Overall cum progress June 14'!K18</f>
        <v>72276</v>
      </c>
      <c r="L18" s="166">
        <f>'[8]2. Overall cum progress June 14'!L18</f>
        <v>102781</v>
      </c>
      <c r="M18" s="157">
        <f>SUM(C18:L18)</f>
        <v>2081273</v>
      </c>
      <c r="N18" s="67">
        <f>M18/1000000</f>
        <v>2.0812729999999999</v>
      </c>
      <c r="O18" s="67">
        <f>M18/M20%</f>
        <v>52.901055467652874</v>
      </c>
      <c r="X18" s="63">
        <f>C18-'2. Overall cum progress Mar Ref'!C18</f>
        <v>0</v>
      </c>
      <c r="Y18" s="63">
        <f>D18-'2. Overall cum progress Mar Ref'!D18</f>
        <v>0</v>
      </c>
      <c r="Z18" s="63">
        <f>E18-'2. Overall cum progress Mar Ref'!E18</f>
        <v>63</v>
      </c>
      <c r="AA18" s="63">
        <f>F18-'2. Overall cum progress Mar Ref'!F18</f>
        <v>189</v>
      </c>
      <c r="AB18" s="63">
        <f>G18-'2. Overall cum progress Mar Ref'!G18</f>
        <v>68830</v>
      </c>
      <c r="AC18" s="63">
        <f>H18-'2. Overall cum progress Mar Ref'!H18</f>
        <v>212</v>
      </c>
      <c r="AD18" s="63">
        <f>I18-'2. Overall cum progress Mar Ref'!I18</f>
        <v>0</v>
      </c>
      <c r="AE18" s="63">
        <f>J18-'2. Overall cum progress Mar Ref'!J18</f>
        <v>4527</v>
      </c>
      <c r="AF18" s="63">
        <f>K18-'2. Overall cum progress Mar Ref'!K18</f>
        <v>10700</v>
      </c>
      <c r="AG18" s="63">
        <f>L18-'2. Overall cum progress Mar Ref'!L18</f>
        <v>4257</v>
      </c>
      <c r="AH18" s="63">
        <f>M18-'2. Overall cum progress Mar Ref'!M18</f>
        <v>88778</v>
      </c>
    </row>
    <row r="19" spans="1:34" s="63" customFormat="1" x14ac:dyDescent="0.3">
      <c r="A19" s="284"/>
      <c r="B19" s="111" t="s">
        <v>18</v>
      </c>
      <c r="C19" s="157">
        <f>'2. Overall cum progress Mar Ref'!C19</f>
        <v>6385</v>
      </c>
      <c r="D19" s="157">
        <f>'2. Overall cum progress Mar Ref'!D19</f>
        <v>27804</v>
      </c>
      <c r="E19" s="166">
        <f>'[3]2. Overall cum progress June 14'!E19</f>
        <v>116909</v>
      </c>
      <c r="F19" s="166">
        <f>'[7]2. Overall cum progress June 14'!F19</f>
        <v>4611</v>
      </c>
      <c r="G19" s="167">
        <v>1153628</v>
      </c>
      <c r="H19" s="157">
        <f>'[11]2. Overall com progres June-14'!H19</f>
        <v>331690</v>
      </c>
      <c r="I19" s="154">
        <v>4825</v>
      </c>
      <c r="J19" s="166">
        <f>'[10]2. Overall cum progress June 14'!J19</f>
        <v>13632</v>
      </c>
      <c r="K19" s="166">
        <f>'[4]2. Overall cum progress June 14'!K19</f>
        <v>98148</v>
      </c>
      <c r="L19" s="166">
        <f>'[8]2. Overall cum progress June 14'!L19</f>
        <v>95370</v>
      </c>
      <c r="M19" s="157">
        <f>SUM(C19:L19)</f>
        <v>1853002</v>
      </c>
      <c r="N19" s="84"/>
      <c r="O19" s="68"/>
      <c r="X19" s="63">
        <f>C19-'2. Overall cum progress Mar Ref'!C19</f>
        <v>0</v>
      </c>
      <c r="Y19" s="63">
        <f>D19-'2. Overall cum progress Mar Ref'!D19</f>
        <v>0</v>
      </c>
      <c r="Z19" s="63">
        <f>E19-'2. Overall cum progress Mar Ref'!E19</f>
        <v>463</v>
      </c>
      <c r="AA19" s="63">
        <f>F19-'2. Overall cum progress Mar Ref'!F19</f>
        <v>176</v>
      </c>
      <c r="AB19" s="63">
        <f>G19-'2. Overall cum progress Mar Ref'!G19</f>
        <v>39486</v>
      </c>
      <c r="AC19" s="63">
        <f>H19-'2. Overall cum progress Mar Ref'!H19</f>
        <v>1913</v>
      </c>
      <c r="AD19" s="63">
        <f>I19-'2. Overall cum progress Mar Ref'!I19</f>
        <v>0</v>
      </c>
      <c r="AE19" s="63">
        <f>J19-'2. Overall cum progress Mar Ref'!J19</f>
        <v>503</v>
      </c>
      <c r="AF19" s="63">
        <f>K19-'2. Overall cum progress Mar Ref'!K19</f>
        <v>2740</v>
      </c>
      <c r="AG19" s="63">
        <f>L19-'2. Overall cum progress Mar Ref'!L19</f>
        <v>2518</v>
      </c>
      <c r="AH19" s="63">
        <f>M19-'2. Overall cum progress Mar Ref'!M19</f>
        <v>47799</v>
      </c>
    </row>
    <row r="20" spans="1:34" s="63" customFormat="1" x14ac:dyDescent="0.3">
      <c r="A20" s="284"/>
      <c r="B20" s="112" t="s">
        <v>16</v>
      </c>
      <c r="C20" s="158">
        <f>SUM(C18:C19)</f>
        <v>17339</v>
      </c>
      <c r="D20" s="158">
        <f t="shared" ref="D20:M20" si="10">SUM(D18:D19)</f>
        <v>86558</v>
      </c>
      <c r="E20" s="158">
        <f t="shared" si="10"/>
        <v>167599</v>
      </c>
      <c r="F20" s="158">
        <f t="shared" ref="F20:G20" si="11">SUM(F18:F19)</f>
        <v>17268</v>
      </c>
      <c r="G20" s="158">
        <f t="shared" si="11"/>
        <v>2543381</v>
      </c>
      <c r="H20" s="158">
        <f t="shared" ref="H20" si="12">SUM(H18:H19)</f>
        <v>478236</v>
      </c>
      <c r="I20" s="158">
        <f t="shared" si="10"/>
        <v>9655</v>
      </c>
      <c r="J20" s="158">
        <f t="shared" si="10"/>
        <v>245664</v>
      </c>
      <c r="K20" s="158">
        <f t="shared" si="10"/>
        <v>170424</v>
      </c>
      <c r="L20" s="158">
        <f t="shared" ref="L20" si="13">SUM(L18:L19)</f>
        <v>198151</v>
      </c>
      <c r="M20" s="158">
        <f t="shared" si="10"/>
        <v>3934275</v>
      </c>
      <c r="N20" s="67">
        <f>M20/1000000</f>
        <v>3.934275</v>
      </c>
      <c r="O20" s="68"/>
      <c r="X20" s="63">
        <f>C20-'2. Overall cum progress Mar Ref'!C20</f>
        <v>0</v>
      </c>
      <c r="Y20" s="63">
        <f>D20-'2. Overall cum progress Mar Ref'!D20</f>
        <v>0</v>
      </c>
      <c r="Z20" s="63">
        <f>E20-'2. Overall cum progress Mar Ref'!E20</f>
        <v>526</v>
      </c>
      <c r="AA20" s="63">
        <f>F20-'2. Overall cum progress Mar Ref'!F20</f>
        <v>365</v>
      </c>
      <c r="AB20" s="63">
        <f>G20-'2. Overall cum progress Mar Ref'!G20</f>
        <v>108316</v>
      </c>
      <c r="AC20" s="63">
        <f>H20-'2. Overall cum progress Mar Ref'!H20</f>
        <v>2125</v>
      </c>
      <c r="AD20" s="63">
        <f>I20-'2. Overall cum progress Mar Ref'!I20</f>
        <v>0</v>
      </c>
      <c r="AE20" s="63">
        <f>J20-'2. Overall cum progress Mar Ref'!J20</f>
        <v>5030</v>
      </c>
      <c r="AF20" s="63">
        <f>K20-'2. Overall cum progress Mar Ref'!K20</f>
        <v>13440</v>
      </c>
      <c r="AG20" s="63">
        <f>L20-'2. Overall cum progress Mar Ref'!L20</f>
        <v>6775</v>
      </c>
      <c r="AH20" s="63">
        <f>M20-'2. Overall cum progress Mar Ref'!M20</f>
        <v>136577</v>
      </c>
    </row>
    <row r="21" spans="1:34" s="63" customFormat="1" x14ac:dyDescent="0.3">
      <c r="A21" s="291" t="s">
        <v>205</v>
      </c>
      <c r="B21" s="111" t="s">
        <v>295</v>
      </c>
      <c r="C21" s="157">
        <f>'2. Overall cum progress Mar Ref'!C21</f>
        <v>6</v>
      </c>
      <c r="D21" s="157">
        <f>'2. Overall cum progress Mar Ref'!D21</f>
        <v>12</v>
      </c>
      <c r="E21" s="166">
        <f>'[3]2. Overall cum progress June 14'!E21</f>
        <v>2</v>
      </c>
      <c r="F21" s="166">
        <f>'[7]2. Overall cum progress June 14'!F21</f>
        <v>1</v>
      </c>
      <c r="G21" s="265">
        <v>211</v>
      </c>
      <c r="H21" s="157">
        <f>'[11]2. Overall com progres June-14'!H21</f>
        <v>2</v>
      </c>
      <c r="I21" s="154">
        <v>0</v>
      </c>
      <c r="J21" s="166">
        <f>'[10]2. Overall cum progress June 14'!J21</f>
        <v>35</v>
      </c>
      <c r="K21" s="166">
        <f>'[4]2. Overall cum progress June 14'!K21</f>
        <v>0</v>
      </c>
      <c r="L21" s="166">
        <f>'[8]2. Overall cum progress June 14'!L21</f>
        <v>8</v>
      </c>
      <c r="M21" s="157">
        <f t="shared" ref="M21:M26" si="14">SUM(C21:L21)</f>
        <v>277</v>
      </c>
      <c r="N21" s="84"/>
      <c r="O21" s="68"/>
      <c r="X21" s="63">
        <f>C21-'2. Overall cum progress Mar Ref'!C21</f>
        <v>0</v>
      </c>
      <c r="Y21" s="63">
        <f>D21-'2. Overall cum progress Mar Ref'!D21</f>
        <v>0</v>
      </c>
      <c r="Z21" s="63">
        <f>E21-'2. Overall cum progress Mar Ref'!E21</f>
        <v>0</v>
      </c>
      <c r="AA21" s="63">
        <f>F21-'2. Overall cum progress Mar Ref'!F21</f>
        <v>0</v>
      </c>
      <c r="AB21" s="63">
        <f>G21-'2. Overall cum progress Mar Ref'!G21</f>
        <v>0</v>
      </c>
      <c r="AC21" s="63">
        <f>H21-'2. Overall cum progress Mar Ref'!H21</f>
        <v>0</v>
      </c>
      <c r="AD21" s="63">
        <f>I21-'2. Overall cum progress Mar Ref'!I21</f>
        <v>0</v>
      </c>
      <c r="AE21" s="63">
        <f>J21-'2. Overall cum progress Mar Ref'!J21</f>
        <v>4</v>
      </c>
      <c r="AF21" s="63">
        <f>K21-'2. Overall cum progress Mar Ref'!K21</f>
        <v>0</v>
      </c>
      <c r="AG21" s="63">
        <f>L21-'2. Overall cum progress Mar Ref'!L21</f>
        <v>0</v>
      </c>
      <c r="AH21" s="63">
        <f>M21-'2. Overall cum progress Mar Ref'!M21</f>
        <v>4</v>
      </c>
    </row>
    <row r="22" spans="1:34" s="63" customFormat="1" x14ac:dyDescent="0.3">
      <c r="A22" s="292"/>
      <c r="B22" s="111" t="s">
        <v>296</v>
      </c>
      <c r="C22" s="157">
        <f>'2. Overall cum progress Mar Ref'!C22</f>
        <v>0</v>
      </c>
      <c r="D22" s="157">
        <f>'2. Overall cum progress Mar Ref'!D22</f>
        <v>0</v>
      </c>
      <c r="E22" s="166">
        <f>'[3]2. Overall cum progress June 14'!E22</f>
        <v>0</v>
      </c>
      <c r="F22" s="166">
        <f>'[7]2. Overall cum progress June 14'!F22</f>
        <v>10</v>
      </c>
      <c r="G22" s="265">
        <v>74</v>
      </c>
      <c r="H22" s="157">
        <f>'[11]2. Overall com progres June-14'!H22</f>
        <v>33</v>
      </c>
      <c r="I22" s="154">
        <v>0</v>
      </c>
      <c r="J22" s="166">
        <f>'[10]2. Overall cum progress June 14'!J22</f>
        <v>3648</v>
      </c>
      <c r="K22" s="166">
        <f>'[4]2. Overall cum progress June 14'!K22</f>
        <v>326</v>
      </c>
      <c r="L22" s="166">
        <f>'[8]2. Overall cum progress June 14'!L22</f>
        <v>1307</v>
      </c>
      <c r="M22" s="157">
        <f t="shared" si="14"/>
        <v>5398</v>
      </c>
      <c r="N22" s="84"/>
      <c r="O22" s="68"/>
      <c r="X22" s="63">
        <f>C22-'2. Overall cum progress Mar Ref'!C22</f>
        <v>0</v>
      </c>
      <c r="Y22" s="63">
        <f>D22-'2. Overall cum progress Mar Ref'!D22</f>
        <v>0</v>
      </c>
      <c r="Z22" s="63">
        <f>E22-'2. Overall cum progress Mar Ref'!E22</f>
        <v>0</v>
      </c>
      <c r="AA22" s="63">
        <f>F22-'2. Overall cum progress Mar Ref'!F22</f>
        <v>0</v>
      </c>
      <c r="AB22" s="63">
        <f>G22-'2. Overall cum progress Mar Ref'!G22</f>
        <v>0</v>
      </c>
      <c r="AC22" s="63">
        <f>H22-'2. Overall cum progress Mar Ref'!H22</f>
        <v>0</v>
      </c>
      <c r="AD22" s="63">
        <f>I22-'2. Overall cum progress Mar Ref'!I22</f>
        <v>0</v>
      </c>
      <c r="AE22" s="63">
        <f>J22-'2. Overall cum progress Mar Ref'!J22</f>
        <v>40</v>
      </c>
      <c r="AF22" s="63">
        <f>K22-'2. Overall cum progress Mar Ref'!K22</f>
        <v>0</v>
      </c>
      <c r="AG22" s="63">
        <f>L22-'2. Overall cum progress Mar Ref'!L22</f>
        <v>0</v>
      </c>
      <c r="AH22" s="63">
        <f>M22-'2. Overall cum progress Mar Ref'!M22</f>
        <v>40</v>
      </c>
    </row>
    <row r="23" spans="1:34" s="63" customFormat="1" x14ac:dyDescent="0.3">
      <c r="A23" s="292"/>
      <c r="B23" s="111" t="s">
        <v>297</v>
      </c>
      <c r="C23" s="157">
        <f>'2. Overall cum progress Mar Ref'!C23</f>
        <v>1094</v>
      </c>
      <c r="D23" s="157">
        <f>'2. Overall cum progress Mar Ref'!D23</f>
        <v>2055</v>
      </c>
      <c r="E23" s="166">
        <f>'[3]2. Overall cum progress June 14'!E23</f>
        <v>20</v>
      </c>
      <c r="F23" s="166">
        <f>'[7]2. Overall cum progress June 14'!F23</f>
        <v>42</v>
      </c>
      <c r="G23" s="266">
        <v>36650</v>
      </c>
      <c r="H23" s="157">
        <f>'[11]2. Overall com progres June-14'!H23</f>
        <v>3122</v>
      </c>
      <c r="I23" s="154">
        <v>0</v>
      </c>
      <c r="J23" s="166">
        <f>'[10]2. Overall cum progress June 14'!J23</f>
        <v>100704</v>
      </c>
      <c r="K23" s="166">
        <f>'[4]2. Overall cum progress June 14'!K23</f>
        <v>36982</v>
      </c>
      <c r="L23" s="166">
        <f>'[8]2. Overall cum progress June 14'!L23</f>
        <v>17239</v>
      </c>
      <c r="M23" s="157">
        <f t="shared" si="14"/>
        <v>197908</v>
      </c>
      <c r="N23" s="84"/>
      <c r="O23" s="68"/>
      <c r="X23" s="63">
        <f>C23-'2. Overall cum progress Mar Ref'!C23</f>
        <v>0</v>
      </c>
      <c r="Y23" s="63">
        <f>D23-'2. Overall cum progress Mar Ref'!D23</f>
        <v>0</v>
      </c>
      <c r="Z23" s="63">
        <f>E23-'2. Overall cum progress Mar Ref'!E23</f>
        <v>0</v>
      </c>
      <c r="AA23" s="63">
        <f>F23-'2. Overall cum progress Mar Ref'!F23</f>
        <v>0</v>
      </c>
      <c r="AB23" s="63">
        <f>G23-'2. Overall cum progress Mar Ref'!G23</f>
        <v>6457</v>
      </c>
      <c r="AC23" s="63">
        <f>H23-'2. Overall cum progress Mar Ref'!H23</f>
        <v>193</v>
      </c>
      <c r="AD23" s="63">
        <f>I23-'2. Overall cum progress Mar Ref'!I23</f>
        <v>0</v>
      </c>
      <c r="AE23" s="63">
        <f>J23-'2. Overall cum progress Mar Ref'!J23</f>
        <v>3940</v>
      </c>
      <c r="AF23" s="63">
        <f>K23-'2. Overall cum progress Mar Ref'!K23</f>
        <v>2123</v>
      </c>
      <c r="AG23" s="63">
        <f>L23-'2. Overall cum progress Mar Ref'!L23</f>
        <v>138</v>
      </c>
      <c r="AH23" s="63">
        <f>M23-'2. Overall cum progress Mar Ref'!M23</f>
        <v>12851</v>
      </c>
    </row>
    <row r="24" spans="1:34" s="63" customFormat="1" ht="27.6" x14ac:dyDescent="0.3">
      <c r="A24" s="293"/>
      <c r="B24" s="111" t="s">
        <v>206</v>
      </c>
      <c r="C24" s="157">
        <f>'2. Overall cum progress Mar Ref'!C24</f>
        <v>16</v>
      </c>
      <c r="D24" s="157">
        <f>'2. Overall cum progress Mar Ref'!D24</f>
        <v>16.106083000000002</v>
      </c>
      <c r="E24" s="166">
        <f>'[3]2. Overall cum progress June 14'!E24</f>
        <v>1</v>
      </c>
      <c r="F24" s="166">
        <f>'[7]2. Overall cum progress June 14'!F24</f>
        <v>0.6</v>
      </c>
      <c r="G24" s="266">
        <v>397.36649999999997</v>
      </c>
      <c r="H24" s="157">
        <f>'[11]2. Overall com progres June-14'!H24</f>
        <v>38.25</v>
      </c>
      <c r="I24" s="154">
        <v>0</v>
      </c>
      <c r="J24" s="166">
        <f>'[10]2. Overall cum progress June 14'!J24</f>
        <v>1047</v>
      </c>
      <c r="K24" s="166">
        <f>'[4]2. Overall cum progress June 14'!K24</f>
        <v>402</v>
      </c>
      <c r="L24" s="166">
        <f>'[8]2. Overall cum progress June 14'!L24</f>
        <v>230.023</v>
      </c>
      <c r="M24" s="109">
        <f t="shared" si="14"/>
        <v>2148.3455829999998</v>
      </c>
      <c r="N24" s="85">
        <f>M24/90</f>
        <v>23.870506477777777</v>
      </c>
      <c r="O24" s="117">
        <f>M24/85</f>
        <v>25.274653917647058</v>
      </c>
      <c r="X24" s="63">
        <f>C24-'2. Overall cum progress Mar Ref'!C24</f>
        <v>0</v>
      </c>
      <c r="Y24" s="63">
        <f>D24-'2. Overall cum progress Mar Ref'!D24</f>
        <v>0</v>
      </c>
      <c r="Z24" s="63">
        <f>E24-'2. Overall cum progress Mar Ref'!E24</f>
        <v>0</v>
      </c>
      <c r="AA24" s="63">
        <f>F24-'2. Overall cum progress Mar Ref'!F24</f>
        <v>0</v>
      </c>
      <c r="AB24" s="63">
        <f>G24-'2. Overall cum progress Mar Ref'!G24</f>
        <v>15.966499999999996</v>
      </c>
      <c r="AC24" s="63">
        <f>H24-'2. Overall cum progress Mar Ref'!H24</f>
        <v>3.509999999999998</v>
      </c>
      <c r="AD24" s="63">
        <f>I24-'2. Overall cum progress Mar Ref'!I24</f>
        <v>0</v>
      </c>
      <c r="AE24" s="63">
        <f>J24-'2. Overall cum progress Mar Ref'!J24</f>
        <v>70</v>
      </c>
      <c r="AF24" s="63">
        <f>K24-'2. Overall cum progress Mar Ref'!K24</f>
        <v>22.891500000000008</v>
      </c>
      <c r="AG24" s="63">
        <f>L24-'2. Overall cum progress Mar Ref'!L24</f>
        <v>1.7280000000000086</v>
      </c>
      <c r="AH24" s="63">
        <f>M24-'2. Overall cum progress Mar Ref'!M24</f>
        <v>114.09599999999978</v>
      </c>
    </row>
    <row r="25" spans="1:34" s="67" customFormat="1" x14ac:dyDescent="0.3">
      <c r="A25" s="294" t="s">
        <v>20</v>
      </c>
      <c r="B25" s="114" t="s">
        <v>17</v>
      </c>
      <c r="C25" s="157">
        <f>'2. Overall cum progress Mar Ref'!C25</f>
        <v>79.263000000000005</v>
      </c>
      <c r="D25" s="157">
        <f>'2. Overall cum progress Mar Ref'!D25</f>
        <v>195</v>
      </c>
      <c r="E25" s="166">
        <f>'[3]2. Overall cum progress June 14'!E25</f>
        <v>9</v>
      </c>
      <c r="F25" s="166">
        <f>'[7]2. Overall cum progress June 14'!F25</f>
        <v>436</v>
      </c>
      <c r="G25" s="266">
        <v>37765.17121</v>
      </c>
      <c r="H25" s="157">
        <f>'[11]2. Overall com progres June-14'!H25</f>
        <v>4978.57</v>
      </c>
      <c r="I25" s="154">
        <v>0</v>
      </c>
      <c r="J25" s="166">
        <f>'[10]2. Overall cum progress June 14'!J25</f>
        <v>5110</v>
      </c>
      <c r="K25" s="166">
        <f>'[4]2. Overall cum progress June 14'!K25</f>
        <v>385</v>
      </c>
      <c r="L25" s="166">
        <f>'[8]2. Overall cum progress June 14'!L25</f>
        <v>3598.4669999999996</v>
      </c>
      <c r="M25" s="157">
        <f t="shared" si="14"/>
        <v>52556.471209999996</v>
      </c>
      <c r="N25" s="116">
        <f>M25/1000</f>
        <v>52.556471209999998</v>
      </c>
      <c r="O25" s="117">
        <f>M25/85</f>
        <v>618.31142599999998</v>
      </c>
      <c r="X25" s="63">
        <f>C25-'2. Overall cum progress Mar Ref'!C25</f>
        <v>0</v>
      </c>
      <c r="Y25" s="63">
        <f>D25-'2. Overall cum progress Mar Ref'!D25</f>
        <v>0</v>
      </c>
      <c r="Z25" s="63">
        <f>E25-'2. Overall cum progress Mar Ref'!E25</f>
        <v>0</v>
      </c>
      <c r="AA25" s="63">
        <f>F25-'2. Overall cum progress Mar Ref'!F25</f>
        <v>32</v>
      </c>
      <c r="AB25" s="63">
        <f>G25-'2. Overall cum progress Mar Ref'!G25</f>
        <v>2555.809500000003</v>
      </c>
      <c r="AC25" s="63">
        <f>H25-'2. Overall cum progress Mar Ref'!H25</f>
        <v>342.03999999999905</v>
      </c>
      <c r="AD25" s="63">
        <f>I25-'2. Overall cum progress Mar Ref'!I25</f>
        <v>0</v>
      </c>
      <c r="AE25" s="63">
        <f>J25-'2. Overall cum progress Mar Ref'!J25</f>
        <v>823</v>
      </c>
      <c r="AF25" s="63">
        <f>K25-'2. Overall cum progress Mar Ref'!K25</f>
        <v>18.225999999999999</v>
      </c>
      <c r="AG25" s="63">
        <f>L25-'2. Overall cum progress Mar Ref'!L25</f>
        <v>166.4099999999994</v>
      </c>
      <c r="AH25" s="63">
        <f>M25-'2. Overall cum progress Mar Ref'!M25</f>
        <v>3937.4855000000025</v>
      </c>
    </row>
    <row r="26" spans="1:34" s="67" customFormat="1" x14ac:dyDescent="0.3">
      <c r="A26" s="294"/>
      <c r="B26" s="108" t="s">
        <v>18</v>
      </c>
      <c r="C26" s="157">
        <f>'2. Overall cum progress Mar Ref'!C26</f>
        <v>58.572000000000003</v>
      </c>
      <c r="D26" s="157">
        <f>'2. Overall cum progress Mar Ref'!D26</f>
        <v>833</v>
      </c>
      <c r="E26" s="166">
        <f>'[3]2. Overall cum progress June 14'!E26</f>
        <v>16</v>
      </c>
      <c r="F26" s="166">
        <f>'[7]2. Overall cum progress June 14'!F26</f>
        <v>90</v>
      </c>
      <c r="G26" s="266">
        <v>46778.282202000002</v>
      </c>
      <c r="H26" s="157">
        <f>'[11]2. Overall com progres June-14'!H26</f>
        <v>6599.49</v>
      </c>
      <c r="I26" s="154">
        <v>0</v>
      </c>
      <c r="J26" s="166">
        <f>'[10]2. Overall cum progress June 14'!J26</f>
        <v>671</v>
      </c>
      <c r="K26" s="166">
        <f>'[4]2. Overall cum progress June 14'!K26</f>
        <v>282</v>
      </c>
      <c r="L26" s="166">
        <f>'[8]2. Overall cum progress June 14'!L26</f>
        <v>3781.9030000000002</v>
      </c>
      <c r="M26" s="157">
        <f t="shared" si="14"/>
        <v>59110.247201999999</v>
      </c>
      <c r="N26" s="84"/>
      <c r="O26" s="117"/>
      <c r="X26" s="63">
        <f>C26-'2. Overall cum progress Mar Ref'!C26</f>
        <v>0</v>
      </c>
      <c r="Y26" s="63">
        <f>D26-'2. Overall cum progress Mar Ref'!D26</f>
        <v>0</v>
      </c>
      <c r="Z26" s="63">
        <f>E26-'2. Overall cum progress Mar Ref'!E26</f>
        <v>0</v>
      </c>
      <c r="AA26" s="63">
        <f>F26-'2. Overall cum progress Mar Ref'!F26</f>
        <v>3</v>
      </c>
      <c r="AB26" s="63">
        <f>G26-'2. Overall cum progress Mar Ref'!G26</f>
        <v>1617.148000000001</v>
      </c>
      <c r="AC26" s="63">
        <f>H26-'2. Overall cum progress Mar Ref'!H26</f>
        <v>149.97999999999956</v>
      </c>
      <c r="AD26" s="63">
        <f>I26-'2. Overall cum progress Mar Ref'!I26</f>
        <v>0</v>
      </c>
      <c r="AE26" s="63">
        <f>J26-'2. Overall cum progress Mar Ref'!J26</f>
        <v>25</v>
      </c>
      <c r="AF26" s="63">
        <f>K26-'2. Overall cum progress Mar Ref'!K26</f>
        <v>2.0860000000000127</v>
      </c>
      <c r="AG26" s="63">
        <f>L26-'2. Overall cum progress Mar Ref'!L26</f>
        <v>505.51000000000022</v>
      </c>
      <c r="AH26" s="63">
        <f>M26-'2. Overall cum progress Mar Ref'!M26</f>
        <v>2302.724000000002</v>
      </c>
    </row>
    <row r="27" spans="1:34" s="67" customFormat="1" x14ac:dyDescent="0.3">
      <c r="A27" s="294"/>
      <c r="B27" s="115" t="s">
        <v>16</v>
      </c>
      <c r="C27" s="158">
        <f>SUM(C25:C26)</f>
        <v>137.83500000000001</v>
      </c>
      <c r="D27" s="158">
        <f t="shared" ref="D27:M27" si="15">SUM(D25:D26)</f>
        <v>1028</v>
      </c>
      <c r="E27" s="158">
        <f t="shared" si="15"/>
        <v>25</v>
      </c>
      <c r="F27" s="158">
        <f t="shared" ref="F27:G27" si="16">SUM(F25:F26)</f>
        <v>526</v>
      </c>
      <c r="G27" s="158">
        <f t="shared" si="16"/>
        <v>84543.453412000003</v>
      </c>
      <c r="H27" s="158">
        <f t="shared" ref="H27" si="17">SUM(H25:H26)</f>
        <v>11578.06</v>
      </c>
      <c r="I27" s="158">
        <f t="shared" si="15"/>
        <v>0</v>
      </c>
      <c r="J27" s="158">
        <f t="shared" si="15"/>
        <v>5781</v>
      </c>
      <c r="K27" s="158">
        <f>SUM(K25:K26)</f>
        <v>667</v>
      </c>
      <c r="L27" s="158">
        <f t="shared" ref="L27" si="18">SUM(L25:L26)</f>
        <v>7380.37</v>
      </c>
      <c r="M27" s="158">
        <f t="shared" si="15"/>
        <v>111666.71841199999</v>
      </c>
      <c r="N27" s="116">
        <f>M27/1000</f>
        <v>111.66671841199999</v>
      </c>
      <c r="O27" s="117">
        <f>M27/85</f>
        <v>1313.7260989647057</v>
      </c>
      <c r="X27" s="63">
        <f>C27-'2. Overall cum progress Mar Ref'!C27</f>
        <v>0</v>
      </c>
      <c r="Y27" s="63">
        <f>D27-'2. Overall cum progress Mar Ref'!D27</f>
        <v>0</v>
      </c>
      <c r="Z27" s="63">
        <f>E27-'2. Overall cum progress Mar Ref'!E27</f>
        <v>0</v>
      </c>
      <c r="AA27" s="63">
        <f>F27-'2. Overall cum progress Mar Ref'!F27</f>
        <v>35</v>
      </c>
      <c r="AB27" s="63">
        <f>G27-'2. Overall cum progress Mar Ref'!G27</f>
        <v>4172.9575000000041</v>
      </c>
      <c r="AC27" s="63">
        <f>H27-'2. Overall cum progress Mar Ref'!H27</f>
        <v>492.01999999999862</v>
      </c>
      <c r="AD27" s="63">
        <f>I27-'2. Overall cum progress Mar Ref'!I27</f>
        <v>0</v>
      </c>
      <c r="AE27" s="63">
        <f>J27-'2. Overall cum progress Mar Ref'!J27</f>
        <v>848</v>
      </c>
      <c r="AF27" s="63">
        <f>K27-'2. Overall cum progress Mar Ref'!K27</f>
        <v>20.312000000000012</v>
      </c>
      <c r="AG27" s="63">
        <f>L27-'2. Overall cum progress Mar Ref'!L27</f>
        <v>671.91999999999916</v>
      </c>
      <c r="AH27" s="63">
        <f>M27-'2. Overall cum progress Mar Ref'!M27</f>
        <v>6240.2094999999972</v>
      </c>
    </row>
    <row r="28" spans="1:34" s="63" customFormat="1" x14ac:dyDescent="0.3">
      <c r="A28" s="284" t="s">
        <v>21</v>
      </c>
      <c r="B28" s="110" t="s">
        <v>17</v>
      </c>
      <c r="C28" s="157">
        <f>'2. Overall cum progress Mar Ref'!C28</f>
        <v>4764</v>
      </c>
      <c r="D28" s="157">
        <f>'2. Overall cum progress Mar Ref'!D28</f>
        <v>74813</v>
      </c>
      <c r="E28" s="166">
        <f>'[3]2. Overall cum progress June 14'!E28</f>
        <v>1156</v>
      </c>
      <c r="F28" s="166">
        <f>'[7]2. Overall cum progress June 14'!F28</f>
        <v>28209</v>
      </c>
      <c r="G28" s="167">
        <v>2365236</v>
      </c>
      <c r="H28" s="157">
        <f>'[11]2. Overall com progres June-14'!H28</f>
        <v>342016</v>
      </c>
      <c r="I28" s="154">
        <v>0</v>
      </c>
      <c r="J28" s="166">
        <f>'[10]2. Overall cum progress June 14'!J28</f>
        <v>305911</v>
      </c>
      <c r="K28" s="166">
        <f>'[4]2. Overall cum progress June 14'!K28</f>
        <v>33268</v>
      </c>
      <c r="L28" s="166">
        <f>'[8]2. Overall cum progress June 14'!L28</f>
        <v>266370</v>
      </c>
      <c r="M28" s="157">
        <f>SUM(C28:L28)</f>
        <v>3421743</v>
      </c>
      <c r="N28" s="116">
        <f>M28/1000000</f>
        <v>3.4217430000000002</v>
      </c>
      <c r="O28" s="68"/>
      <c r="P28" s="63">
        <f>M28/M30%</f>
        <v>46.355031429500379</v>
      </c>
      <c r="X28" s="63">
        <f>C28-'2. Overall cum progress Mar Ref'!C28</f>
        <v>0</v>
      </c>
      <c r="Y28" s="63">
        <f>D28-'2. Overall cum progress Mar Ref'!D28</f>
        <v>0</v>
      </c>
      <c r="Z28" s="63">
        <f>E28-'2. Overall cum progress Mar Ref'!E28</f>
        <v>0</v>
      </c>
      <c r="AA28" s="63">
        <f>F28-'2. Overall cum progress Mar Ref'!F28</f>
        <v>1820</v>
      </c>
      <c r="AB28" s="63">
        <f>G28-'2. Overall cum progress Mar Ref'!G28</f>
        <v>110991</v>
      </c>
      <c r="AC28" s="63">
        <f>H28-'2. Overall cum progress Mar Ref'!H28</f>
        <v>18004</v>
      </c>
      <c r="AD28" s="63">
        <f>I28-'2. Overall cum progress Mar Ref'!I28</f>
        <v>0</v>
      </c>
      <c r="AE28" s="63">
        <f>J28-'2. Overall cum progress Mar Ref'!J28</f>
        <v>43107</v>
      </c>
      <c r="AF28" s="63">
        <f>K28-'2. Overall cum progress Mar Ref'!K28</f>
        <v>1514</v>
      </c>
      <c r="AG28" s="63">
        <f>L28-'2. Overall cum progress Mar Ref'!L28</f>
        <v>11278</v>
      </c>
      <c r="AH28" s="63">
        <f>M28-'2. Overall cum progress Mar Ref'!M28</f>
        <v>186714</v>
      </c>
    </row>
    <row r="29" spans="1:34" s="63" customFormat="1" x14ac:dyDescent="0.3">
      <c r="A29" s="284"/>
      <c r="B29" s="111" t="s">
        <v>18</v>
      </c>
      <c r="C29" s="157">
        <f>'2. Overall cum progress Mar Ref'!C29</f>
        <v>3217</v>
      </c>
      <c r="D29" s="157">
        <f>'2. Overall cum progress Mar Ref'!D29</f>
        <v>546311</v>
      </c>
      <c r="E29" s="166">
        <f>'[3]2. Overall cum progress June 14'!E29</f>
        <v>1600</v>
      </c>
      <c r="F29" s="166">
        <f>'[7]2. Overall cum progress June 14'!F29</f>
        <v>6174</v>
      </c>
      <c r="G29" s="167">
        <v>2660565</v>
      </c>
      <c r="H29" s="157">
        <f>'[11]2. Overall com progres June-14'!H29</f>
        <v>453371</v>
      </c>
      <c r="I29" s="154">
        <v>0</v>
      </c>
      <c r="J29" s="166">
        <f>'[10]2. Overall cum progress June 14'!J29</f>
        <v>45299</v>
      </c>
      <c r="K29" s="166">
        <f>'[4]2. Overall cum progress June 14'!K29</f>
        <v>25641</v>
      </c>
      <c r="L29" s="166">
        <f>'[8]2. Overall cum progress June 14'!L29</f>
        <v>217679</v>
      </c>
      <c r="M29" s="157">
        <f>SUM(C29:L29)</f>
        <v>3959857</v>
      </c>
      <c r="N29" s="116"/>
      <c r="O29" s="68"/>
      <c r="X29" s="63">
        <f>C29-'2. Overall cum progress Mar Ref'!C29</f>
        <v>0</v>
      </c>
      <c r="Y29" s="63">
        <f>D29-'2. Overall cum progress Mar Ref'!D29</f>
        <v>0</v>
      </c>
      <c r="Z29" s="63">
        <f>E29-'2. Overall cum progress Mar Ref'!E29</f>
        <v>0</v>
      </c>
      <c r="AA29" s="63">
        <f>F29-'2. Overall cum progress Mar Ref'!F29</f>
        <v>184</v>
      </c>
      <c r="AB29" s="63">
        <f>G29-'2. Overall cum progress Mar Ref'!G29</f>
        <v>55405</v>
      </c>
      <c r="AC29" s="63">
        <f>H29-'2. Overall cum progress Mar Ref'!H29</f>
        <v>4669</v>
      </c>
      <c r="AD29" s="63">
        <f>I29-'2. Overall cum progress Mar Ref'!I29</f>
        <v>0</v>
      </c>
      <c r="AE29" s="63">
        <f>J29-'2. Overall cum progress Mar Ref'!J29</f>
        <v>1039</v>
      </c>
      <c r="AF29" s="63">
        <f>K29-'2. Overall cum progress Mar Ref'!K29</f>
        <v>90</v>
      </c>
      <c r="AG29" s="63">
        <f>L29-'2. Overall cum progress Mar Ref'!L29</f>
        <v>25404</v>
      </c>
      <c r="AH29" s="63">
        <f>M29-'2. Overall cum progress Mar Ref'!M29</f>
        <v>86791</v>
      </c>
    </row>
    <row r="30" spans="1:34" s="63" customFormat="1" x14ac:dyDescent="0.3">
      <c r="A30" s="284"/>
      <c r="B30" s="112" t="s">
        <v>16</v>
      </c>
      <c r="C30" s="158">
        <f>SUM(C28:C29)</f>
        <v>7981</v>
      </c>
      <c r="D30" s="158">
        <f t="shared" ref="D30:M30" si="19">SUM(D28:D29)</f>
        <v>621124</v>
      </c>
      <c r="E30" s="158">
        <f t="shared" si="19"/>
        <v>2756</v>
      </c>
      <c r="F30" s="158">
        <f t="shared" ref="F30:G30" si="20">SUM(F28:F29)</f>
        <v>34383</v>
      </c>
      <c r="G30" s="158">
        <f t="shared" si="20"/>
        <v>5025801</v>
      </c>
      <c r="H30" s="158">
        <f>SUM(H28:H29)</f>
        <v>795387</v>
      </c>
      <c r="I30" s="158">
        <f t="shared" si="19"/>
        <v>0</v>
      </c>
      <c r="J30" s="158">
        <f t="shared" si="19"/>
        <v>351210</v>
      </c>
      <c r="K30" s="158">
        <f t="shared" si="19"/>
        <v>58909</v>
      </c>
      <c r="L30" s="158">
        <f t="shared" ref="L30" si="21">SUM(L28:L29)</f>
        <v>484049</v>
      </c>
      <c r="M30" s="158">
        <f t="shared" si="19"/>
        <v>7381600</v>
      </c>
      <c r="N30" s="116">
        <f>M30/1000000</f>
        <v>7.3815999999999997</v>
      </c>
      <c r="O30" s="68"/>
      <c r="X30" s="63">
        <f>C30-'2. Overall cum progress Mar Ref'!C30</f>
        <v>0</v>
      </c>
      <c r="Y30" s="63">
        <f>D30-'2. Overall cum progress Mar Ref'!D30</f>
        <v>0</v>
      </c>
      <c r="Z30" s="63">
        <f>E30-'2. Overall cum progress Mar Ref'!E30</f>
        <v>0</v>
      </c>
      <c r="AA30" s="63">
        <f>F30-'2. Overall cum progress Mar Ref'!F30</f>
        <v>2004</v>
      </c>
      <c r="AB30" s="63">
        <f>G30-'2. Overall cum progress Mar Ref'!G30</f>
        <v>166396</v>
      </c>
      <c r="AC30" s="63">
        <f>H30-'2. Overall cum progress Mar Ref'!H30</f>
        <v>22673</v>
      </c>
      <c r="AD30" s="63">
        <f>I30-'2. Overall cum progress Mar Ref'!I30</f>
        <v>0</v>
      </c>
      <c r="AE30" s="63">
        <f>J30-'2. Overall cum progress Mar Ref'!J30</f>
        <v>44146</v>
      </c>
      <c r="AF30" s="63">
        <f>K30-'2. Overall cum progress Mar Ref'!K30</f>
        <v>1604</v>
      </c>
      <c r="AG30" s="63">
        <f>L30-'2. Overall cum progress Mar Ref'!L30</f>
        <v>36682</v>
      </c>
      <c r="AH30" s="63">
        <f>M30-'2. Overall cum progress Mar Ref'!M30</f>
        <v>273505</v>
      </c>
    </row>
    <row r="31" spans="1:34" s="68" customFormat="1" x14ac:dyDescent="0.3">
      <c r="A31" s="294" t="s">
        <v>207</v>
      </c>
      <c r="B31" s="110" t="s">
        <v>17</v>
      </c>
      <c r="C31" s="157">
        <f>'2. Overall cum progress Mar Ref'!C31</f>
        <v>0</v>
      </c>
      <c r="D31" s="157">
        <f>'2. Overall cum progress Mar Ref'!D31</f>
        <v>74813</v>
      </c>
      <c r="E31" s="166">
        <f>'[3]2. Overall cum progress June 14'!E31</f>
        <v>0</v>
      </c>
      <c r="F31" s="166">
        <f>'[7]2. Overall cum progress June 14'!F31</f>
        <v>24922</v>
      </c>
      <c r="G31" s="167">
        <v>879321</v>
      </c>
      <c r="H31" s="157">
        <f>'[11]2. Overall com progres June-14'!H31</f>
        <v>0</v>
      </c>
      <c r="I31" s="154">
        <v>0</v>
      </c>
      <c r="J31" s="166">
        <f>'[10]2. Overall cum progress June 14'!J31</f>
        <v>252225</v>
      </c>
      <c r="K31" s="242">
        <v>5834</v>
      </c>
      <c r="L31" s="166">
        <f>'[8]2. Overall cum progress June 14'!L31</f>
        <v>86533</v>
      </c>
      <c r="M31" s="157">
        <f>SUM(C31:L31)</f>
        <v>1323648</v>
      </c>
      <c r="N31" s="68">
        <f>M31/M33%</f>
        <v>32.497327587011164</v>
      </c>
      <c r="X31" s="63">
        <f>C31-'2. Overall cum progress Mar Ref'!C31</f>
        <v>0</v>
      </c>
      <c r="Y31" s="63">
        <f>D31-'2. Overall cum progress Mar Ref'!D31</f>
        <v>0</v>
      </c>
      <c r="Z31" s="63">
        <f>E31-'2. Overall cum progress Mar Ref'!E31</f>
        <v>0</v>
      </c>
      <c r="AA31" s="63">
        <f>F31-'2. Overall cum progress Mar Ref'!F31</f>
        <v>1869</v>
      </c>
      <c r="AB31" s="63">
        <f>G31-'2. Overall cum progress Mar Ref'!G31</f>
        <v>48609</v>
      </c>
      <c r="AC31" s="63">
        <f>H31-'2. Overall cum progress Mar Ref'!H31</f>
        <v>0</v>
      </c>
      <c r="AD31" s="63">
        <f>I31-'2. Overall cum progress Mar Ref'!I31</f>
        <v>0</v>
      </c>
      <c r="AE31" s="63">
        <f>J31-'2. Overall cum progress Mar Ref'!J31</f>
        <v>27131</v>
      </c>
      <c r="AF31" s="63">
        <f>K31-'2. Overall cum progress Mar Ref'!K31</f>
        <v>0</v>
      </c>
      <c r="AG31" s="63">
        <f>L31-'2. Overall cum progress Mar Ref'!L31</f>
        <v>0</v>
      </c>
      <c r="AH31" s="63">
        <f>M31-'2. Overall cum progress Mar Ref'!M31</f>
        <v>77609</v>
      </c>
    </row>
    <row r="32" spans="1:34" s="68" customFormat="1" x14ac:dyDescent="0.3">
      <c r="A32" s="294"/>
      <c r="B32" s="111" t="s">
        <v>18</v>
      </c>
      <c r="C32" s="157">
        <f>'2. Overall cum progress Mar Ref'!C32</f>
        <v>0</v>
      </c>
      <c r="D32" s="157">
        <f>'2. Overall cum progress Mar Ref'!D32</f>
        <v>546311</v>
      </c>
      <c r="E32" s="166">
        <f>'[3]2. Overall cum progress June 14'!E32</f>
        <v>0</v>
      </c>
      <c r="F32" s="166">
        <f>'[7]2. Overall cum progress June 14'!F32</f>
        <v>7413</v>
      </c>
      <c r="G32" s="167">
        <v>2060744</v>
      </c>
      <c r="H32" s="157">
        <f>'[11]2. Overall com progres June-14'!H32</f>
        <v>0</v>
      </c>
      <c r="I32" s="154">
        <v>0</v>
      </c>
      <c r="J32" s="166">
        <f>'[10]2. Overall cum progress June 14'!J32</f>
        <v>40601</v>
      </c>
      <c r="K32" s="242">
        <v>21566</v>
      </c>
      <c r="L32" s="166">
        <f>'[8]2. Overall cum progress June 14'!L32</f>
        <v>72815</v>
      </c>
      <c r="M32" s="157">
        <f>SUM(C32:L32)</f>
        <v>2749450</v>
      </c>
      <c r="X32" s="63">
        <f>C32-'2. Overall cum progress Mar Ref'!C32</f>
        <v>0</v>
      </c>
      <c r="Y32" s="63">
        <f>D32-'2. Overall cum progress Mar Ref'!D32</f>
        <v>0</v>
      </c>
      <c r="Z32" s="63">
        <f>E32-'2. Overall cum progress Mar Ref'!E32</f>
        <v>0</v>
      </c>
      <c r="AA32" s="63">
        <f>F32-'2. Overall cum progress Mar Ref'!F32</f>
        <v>201</v>
      </c>
      <c r="AB32" s="63">
        <f>G32-'2. Overall cum progress Mar Ref'!G32</f>
        <v>52510</v>
      </c>
      <c r="AC32" s="63">
        <f>H32-'2. Overall cum progress Mar Ref'!H32</f>
        <v>0</v>
      </c>
      <c r="AD32" s="63">
        <f>I32-'2. Overall cum progress Mar Ref'!I32</f>
        <v>0</v>
      </c>
      <c r="AE32" s="63">
        <f>J32-'2. Overall cum progress Mar Ref'!J32</f>
        <v>0</v>
      </c>
      <c r="AF32" s="63">
        <f>K32-'2. Overall cum progress Mar Ref'!K32</f>
        <v>0</v>
      </c>
      <c r="AG32" s="63">
        <f>L32-'2. Overall cum progress Mar Ref'!L32</f>
        <v>0</v>
      </c>
      <c r="AH32" s="63">
        <f>M32-'2. Overall cum progress Mar Ref'!M32</f>
        <v>52711</v>
      </c>
    </row>
    <row r="33" spans="1:34" s="68" customFormat="1" x14ac:dyDescent="0.3">
      <c r="A33" s="294"/>
      <c r="B33" s="112" t="s">
        <v>16</v>
      </c>
      <c r="C33" s="158">
        <f t="shared" ref="C33:M33" si="22">SUM(C31:C32)</f>
        <v>0</v>
      </c>
      <c r="D33" s="158">
        <f t="shared" si="22"/>
        <v>621124</v>
      </c>
      <c r="E33" s="158">
        <f t="shared" si="22"/>
        <v>0</v>
      </c>
      <c r="F33" s="158">
        <f t="shared" si="22"/>
        <v>32335</v>
      </c>
      <c r="G33" s="158">
        <f t="shared" si="22"/>
        <v>2940065</v>
      </c>
      <c r="H33" s="158">
        <f t="shared" si="22"/>
        <v>0</v>
      </c>
      <c r="I33" s="158">
        <f t="shared" si="22"/>
        <v>0</v>
      </c>
      <c r="J33" s="158">
        <f t="shared" si="22"/>
        <v>292826</v>
      </c>
      <c r="K33" s="247">
        <v>27400</v>
      </c>
      <c r="L33" s="158">
        <f t="shared" si="22"/>
        <v>159348</v>
      </c>
      <c r="M33" s="158">
        <f t="shared" si="22"/>
        <v>4073098</v>
      </c>
      <c r="N33" s="67">
        <f>M33/1000000</f>
        <v>4.0730979999999999</v>
      </c>
      <c r="X33" s="63">
        <f>C33-'2. Overall cum progress Mar Ref'!C33</f>
        <v>0</v>
      </c>
      <c r="Y33" s="63">
        <f>D33-'2. Overall cum progress Mar Ref'!D33</f>
        <v>0</v>
      </c>
      <c r="Z33" s="63">
        <f>E33-'2. Overall cum progress Mar Ref'!E33</f>
        <v>0</v>
      </c>
      <c r="AA33" s="63">
        <f>F33-'2. Overall cum progress Mar Ref'!F33</f>
        <v>2070</v>
      </c>
      <c r="AB33" s="63">
        <f>G33-'2. Overall cum progress Mar Ref'!G33</f>
        <v>101119</v>
      </c>
      <c r="AC33" s="63">
        <f>H33-'2. Overall cum progress Mar Ref'!H33</f>
        <v>0</v>
      </c>
      <c r="AD33" s="63">
        <f>I33-'2. Overall cum progress Mar Ref'!I33</f>
        <v>0</v>
      </c>
      <c r="AE33" s="63">
        <f>J33-'2. Overall cum progress Mar Ref'!J33</f>
        <v>27131</v>
      </c>
      <c r="AF33" s="63">
        <f>K33-'2. Overall cum progress Mar Ref'!K33</f>
        <v>0</v>
      </c>
      <c r="AG33" s="63">
        <f>L33-'2. Overall cum progress Mar Ref'!L33</f>
        <v>0</v>
      </c>
      <c r="AH33" s="63">
        <f>M33-'2. Overall cum progress Mar Ref'!M33</f>
        <v>130320</v>
      </c>
    </row>
    <row r="34" spans="1:34" s="63" customFormat="1" ht="13.2" customHeight="1" x14ac:dyDescent="0.3">
      <c r="A34" s="296" t="s">
        <v>239</v>
      </c>
      <c r="B34" s="111" t="s">
        <v>17</v>
      </c>
      <c r="C34" s="157">
        <f>'2. Overall cum progress Mar Ref'!C34</f>
        <v>0</v>
      </c>
      <c r="D34" s="157">
        <f>'2. Overall cum progress Mar Ref'!D34</f>
        <v>74813</v>
      </c>
      <c r="E34" s="166">
        <f>'[3]2. Overall cum progress June 14'!E34</f>
        <v>0</v>
      </c>
      <c r="F34" s="166">
        <f>'[7]2. Overall cum progress June 14'!F34</f>
        <v>24922</v>
      </c>
      <c r="G34" s="167">
        <v>1787722</v>
      </c>
      <c r="H34" s="157">
        <f>'[11]2. Overall com progres June-14'!H34</f>
        <v>0</v>
      </c>
      <c r="I34" s="154">
        <v>0</v>
      </c>
      <c r="J34" s="166">
        <f>'[10]2. Overall cum progress June 14'!J34</f>
        <v>361851</v>
      </c>
      <c r="K34" s="242">
        <v>35004</v>
      </c>
      <c r="L34" s="166">
        <f>'[8]2. Overall cum progress June 14'!L34</f>
        <v>88190</v>
      </c>
      <c r="M34" s="157">
        <f>SUM(C34:L34)</f>
        <v>2372502</v>
      </c>
      <c r="N34" s="67">
        <f>M34/1000000</f>
        <v>2.3725019999999999</v>
      </c>
      <c r="O34" s="68"/>
      <c r="X34" s="63">
        <f>C34-'2. Overall cum progress Mar Ref'!C34</f>
        <v>0</v>
      </c>
      <c r="Y34" s="63">
        <f>D34-'2. Overall cum progress Mar Ref'!D34</f>
        <v>0</v>
      </c>
      <c r="Z34" s="63">
        <f>E34-'2. Overall cum progress Mar Ref'!E34</f>
        <v>0</v>
      </c>
      <c r="AA34" s="63">
        <f>F34-'2. Overall cum progress Mar Ref'!F34</f>
        <v>1869</v>
      </c>
      <c r="AB34" s="63">
        <f>G34-'2. Overall cum progress Mar Ref'!G34</f>
        <v>68775</v>
      </c>
      <c r="AC34" s="63">
        <f>H34-'2. Overall cum progress Mar Ref'!H34</f>
        <v>0</v>
      </c>
      <c r="AD34" s="63">
        <f>I34-'2. Overall cum progress Mar Ref'!I34</f>
        <v>0</v>
      </c>
      <c r="AE34" s="63">
        <f>J34-'2. Overall cum progress Mar Ref'!J34</f>
        <v>1836</v>
      </c>
      <c r="AF34" s="63">
        <f>K34-'2. Overall cum progress Mar Ref'!K34</f>
        <v>0</v>
      </c>
      <c r="AG34" s="63">
        <f>L34-'2. Overall cum progress Mar Ref'!L34</f>
        <v>0</v>
      </c>
      <c r="AH34" s="63">
        <f>M34-'2. Overall cum progress Mar Ref'!M34</f>
        <v>72480</v>
      </c>
    </row>
    <row r="35" spans="1:34" s="63" customFormat="1" x14ac:dyDescent="0.3">
      <c r="A35" s="296"/>
      <c r="B35" s="111" t="s">
        <v>18</v>
      </c>
      <c r="C35" s="157">
        <f>'2. Overall cum progress Mar Ref'!C35</f>
        <v>0</v>
      </c>
      <c r="D35" s="157">
        <f>'2. Overall cum progress Mar Ref'!D35</f>
        <v>546311</v>
      </c>
      <c r="E35" s="166">
        <f>'[3]2. Overall cum progress June 14'!E35</f>
        <v>0</v>
      </c>
      <c r="F35" s="166">
        <f>'[7]2. Overall cum progress June 14'!F35</f>
        <v>7413</v>
      </c>
      <c r="G35" s="167">
        <v>2877873</v>
      </c>
      <c r="H35" s="157">
        <f>'[11]2. Overall com progres June-14'!H35</f>
        <v>0</v>
      </c>
      <c r="I35" s="154">
        <v>0</v>
      </c>
      <c r="J35" s="166">
        <f>'[10]2. Overall cum progress June 14'!J35</f>
        <v>257340</v>
      </c>
      <c r="K35" s="242">
        <v>129396</v>
      </c>
      <c r="L35" s="166">
        <f>'[8]2. Overall cum progress June 14'!L35</f>
        <v>73703</v>
      </c>
      <c r="M35" s="157">
        <f>SUM(C35:L35)</f>
        <v>3892036</v>
      </c>
      <c r="N35" s="84"/>
      <c r="O35" s="68"/>
      <c r="X35" s="63">
        <f>C35-'2. Overall cum progress Mar Ref'!C35</f>
        <v>0</v>
      </c>
      <c r="Y35" s="63">
        <f>D35-'2. Overall cum progress Mar Ref'!D35</f>
        <v>0</v>
      </c>
      <c r="Z35" s="63">
        <f>E35-'2. Overall cum progress Mar Ref'!E35</f>
        <v>0</v>
      </c>
      <c r="AA35" s="63">
        <f>F35-'2. Overall cum progress Mar Ref'!F35</f>
        <v>201</v>
      </c>
      <c r="AB35" s="63">
        <f>G35-'2. Overall cum progress Mar Ref'!G35</f>
        <v>79111</v>
      </c>
      <c r="AC35" s="63">
        <f>H35-'2. Overall cum progress Mar Ref'!H35</f>
        <v>0</v>
      </c>
      <c r="AD35" s="63">
        <f>I35-'2. Overall cum progress Mar Ref'!I35</f>
        <v>0</v>
      </c>
      <c r="AE35" s="63">
        <f>J35-'2. Overall cum progress Mar Ref'!J35</f>
        <v>0</v>
      </c>
      <c r="AF35" s="63">
        <f>K35-'2. Overall cum progress Mar Ref'!K35</f>
        <v>0</v>
      </c>
      <c r="AG35" s="63">
        <f>L35-'2. Overall cum progress Mar Ref'!L35</f>
        <v>0</v>
      </c>
      <c r="AH35" s="63">
        <f>M35-'2. Overall cum progress Mar Ref'!M35</f>
        <v>79312</v>
      </c>
    </row>
    <row r="36" spans="1:34" s="63" customFormat="1" x14ac:dyDescent="0.3">
      <c r="A36" s="296"/>
      <c r="B36" s="112" t="s">
        <v>16</v>
      </c>
      <c r="C36" s="158">
        <f>SUM(C34:C35)</f>
        <v>0</v>
      </c>
      <c r="D36" s="158">
        <f t="shared" ref="D36:M36" si="23">SUM(D34:D35)</f>
        <v>621124</v>
      </c>
      <c r="E36" s="158">
        <f t="shared" si="23"/>
        <v>0</v>
      </c>
      <c r="F36" s="158">
        <f t="shared" ref="F36:G36" si="24">SUM(F34:F35)</f>
        <v>32335</v>
      </c>
      <c r="G36" s="158">
        <f t="shared" si="24"/>
        <v>4665595</v>
      </c>
      <c r="H36" s="158">
        <f>SUM(H34:H35)</f>
        <v>0</v>
      </c>
      <c r="I36" s="158">
        <f t="shared" si="23"/>
        <v>0</v>
      </c>
      <c r="J36" s="158">
        <f t="shared" si="23"/>
        <v>619191</v>
      </c>
      <c r="K36" s="247">
        <v>164400</v>
      </c>
      <c r="L36" s="158">
        <f t="shared" ref="L36" si="25">SUM(L34:L35)</f>
        <v>161893</v>
      </c>
      <c r="M36" s="158">
        <f t="shared" si="23"/>
        <v>6264538</v>
      </c>
      <c r="N36" s="67">
        <f>M36/1000000</f>
        <v>6.2645379999999999</v>
      </c>
      <c r="O36" s="68"/>
      <c r="X36" s="63">
        <f>C36-'2. Overall cum progress Mar Ref'!C36</f>
        <v>0</v>
      </c>
      <c r="Y36" s="63">
        <f>D36-'2. Overall cum progress Mar Ref'!D36</f>
        <v>0</v>
      </c>
      <c r="Z36" s="63">
        <f>E36-'2. Overall cum progress Mar Ref'!E36</f>
        <v>0</v>
      </c>
      <c r="AA36" s="63">
        <f>F36-'2. Overall cum progress Mar Ref'!F36</f>
        <v>2070</v>
      </c>
      <c r="AB36" s="63">
        <f>G36-'2. Overall cum progress Mar Ref'!G36</f>
        <v>147886</v>
      </c>
      <c r="AC36" s="63">
        <f>H36-'2. Overall cum progress Mar Ref'!H36</f>
        <v>0</v>
      </c>
      <c r="AD36" s="63">
        <f>I36-'2. Overall cum progress Mar Ref'!I36</f>
        <v>0</v>
      </c>
      <c r="AE36" s="63">
        <f>J36-'2. Overall cum progress Mar Ref'!J36</f>
        <v>1836</v>
      </c>
      <c r="AF36" s="63">
        <f>K36-'2. Overall cum progress Mar Ref'!K36</f>
        <v>0</v>
      </c>
      <c r="AG36" s="63">
        <f>L36-'2. Overall cum progress Mar Ref'!L36</f>
        <v>0</v>
      </c>
      <c r="AH36" s="63">
        <f>M36-'2. Overall cum progress Mar Ref'!M36</f>
        <v>151792</v>
      </c>
    </row>
    <row r="37" spans="1:34" s="69" customFormat="1" x14ac:dyDescent="0.3">
      <c r="A37" s="297" t="s">
        <v>288</v>
      </c>
      <c r="B37" s="298"/>
      <c r="C37" s="157">
        <f>'2. Overall cum progress Mar Ref'!C37</f>
        <v>1637</v>
      </c>
      <c r="D37" s="157">
        <f>'2. Overall cum progress Mar Ref'!D37</f>
        <v>3576</v>
      </c>
      <c r="E37" s="166">
        <f>'[3]2. Overall cum progress June 14'!E37</f>
        <v>1477</v>
      </c>
      <c r="F37" s="166">
        <f>'[7]2. Overall cum progress June 14'!F37</f>
        <v>670</v>
      </c>
      <c r="G37" s="167">
        <v>30225</v>
      </c>
      <c r="H37" s="157">
        <f>'[11]2. Overall com progres June-14'!H37</f>
        <v>6433</v>
      </c>
      <c r="I37" s="154">
        <v>0</v>
      </c>
      <c r="J37" s="166">
        <f>'[10]2. Overall cum progress June 14'!J37</f>
        <v>39606</v>
      </c>
      <c r="K37" s="166">
        <f>'[4]2. Overall cum progress June 14'!K37</f>
        <v>8713</v>
      </c>
      <c r="L37" s="166">
        <f>'[8]2. Overall cum progress June 14'!L37</f>
        <v>60789</v>
      </c>
      <c r="M37" s="157">
        <f t="shared" ref="M37:M45" si="26">SUM(C37:L37)</f>
        <v>153126</v>
      </c>
      <c r="N37" s="84"/>
      <c r="O37" s="68"/>
      <c r="X37" s="63">
        <f>C37-'2. Overall cum progress Mar Ref'!C37</f>
        <v>0</v>
      </c>
      <c r="Y37" s="63">
        <f>D37-'2. Overall cum progress Mar Ref'!D37</f>
        <v>0</v>
      </c>
      <c r="Z37" s="63">
        <f>E37-'2. Overall cum progress Mar Ref'!E37</f>
        <v>0</v>
      </c>
      <c r="AA37" s="63">
        <f>F37-'2. Overall cum progress Mar Ref'!F37</f>
        <v>31</v>
      </c>
      <c r="AB37" s="63">
        <f>G37-'2. Overall cum progress Mar Ref'!G37</f>
        <v>176</v>
      </c>
      <c r="AC37" s="63">
        <f>H37-'2. Overall cum progress Mar Ref'!H37</f>
        <v>0</v>
      </c>
      <c r="AD37" s="63">
        <f>I37-'2. Overall cum progress Mar Ref'!I37</f>
        <v>0</v>
      </c>
      <c r="AE37" s="63">
        <f>J37-'2. Overall cum progress Mar Ref'!J37</f>
        <v>0</v>
      </c>
      <c r="AF37" s="63">
        <f>K37-'2. Overall cum progress Mar Ref'!K37</f>
        <v>39</v>
      </c>
      <c r="AG37" s="63">
        <f>L37-'2. Overall cum progress Mar Ref'!L37</f>
        <v>230</v>
      </c>
      <c r="AH37" s="63">
        <f>M37-'2. Overall cum progress Mar Ref'!M37</f>
        <v>476</v>
      </c>
    </row>
    <row r="38" spans="1:34" s="69" customFormat="1" x14ac:dyDescent="0.3">
      <c r="A38" s="297" t="s">
        <v>289</v>
      </c>
      <c r="B38" s="298"/>
      <c r="C38" s="157">
        <f>'2. Overall cum progress Mar Ref'!C38</f>
        <v>1637</v>
      </c>
      <c r="D38" s="157">
        <f>'2. Overall cum progress Mar Ref'!D38</f>
        <v>3576</v>
      </c>
      <c r="E38" s="166">
        <f>'[3]2. Overall cum progress June 14'!E38</f>
        <v>1265</v>
      </c>
      <c r="F38" s="166">
        <f>'[7]2. Overall cum progress June 14'!F38</f>
        <v>634</v>
      </c>
      <c r="G38" s="167">
        <v>29228</v>
      </c>
      <c r="H38" s="157">
        <f>'[11]2. Overall com progres June-14'!H38</f>
        <v>6433</v>
      </c>
      <c r="I38" s="154">
        <v>16</v>
      </c>
      <c r="J38" s="166">
        <f>'[10]2. Overall cum progress June 14'!J38</f>
        <v>39606</v>
      </c>
      <c r="K38" s="166">
        <f>'[4]2. Overall cum progress June 14'!K38</f>
        <v>8350</v>
      </c>
      <c r="L38" s="166">
        <f>'[8]2. Overall cum progress June 14'!L38</f>
        <v>59794</v>
      </c>
      <c r="M38" s="157">
        <f t="shared" si="26"/>
        <v>150539</v>
      </c>
      <c r="N38" s="84"/>
      <c r="O38" s="68"/>
      <c r="X38" s="63">
        <f>C38-'2. Overall cum progress Mar Ref'!C38</f>
        <v>0</v>
      </c>
      <c r="Y38" s="63">
        <f>D38-'2. Overall cum progress Mar Ref'!D38</f>
        <v>0</v>
      </c>
      <c r="Z38" s="63">
        <f>E38-'2. Overall cum progress Mar Ref'!E38</f>
        <v>95</v>
      </c>
      <c r="AA38" s="63">
        <f>F38-'2. Overall cum progress Mar Ref'!F38</f>
        <v>27</v>
      </c>
      <c r="AB38" s="63">
        <f>G38-'2. Overall cum progress Mar Ref'!G38</f>
        <v>647</v>
      </c>
      <c r="AC38" s="63">
        <f>H38-'2. Overall cum progress Mar Ref'!H38</f>
        <v>0</v>
      </c>
      <c r="AD38" s="63">
        <f>I38-'2. Overall cum progress Mar Ref'!I38</f>
        <v>0</v>
      </c>
      <c r="AE38" s="63">
        <f>J38-'2. Overall cum progress Mar Ref'!J38</f>
        <v>0</v>
      </c>
      <c r="AF38" s="63">
        <f>K38-'2. Overall cum progress Mar Ref'!K38</f>
        <v>24</v>
      </c>
      <c r="AG38" s="63">
        <f>L38-'2. Overall cum progress Mar Ref'!L38</f>
        <v>479</v>
      </c>
      <c r="AH38" s="63">
        <f>M38-'2. Overall cum progress Mar Ref'!M38</f>
        <v>1272</v>
      </c>
    </row>
    <row r="39" spans="1:34" s="70" customFormat="1" x14ac:dyDescent="0.3">
      <c r="A39" s="297" t="s">
        <v>22</v>
      </c>
      <c r="B39" s="298"/>
      <c r="C39" s="157">
        <f>'2. Overall cum progress Mar Ref'!C39</f>
        <v>100347</v>
      </c>
      <c r="D39" s="157">
        <f>'2. Overall cum progress Mar Ref'!D39</f>
        <v>284440</v>
      </c>
      <c r="E39" s="166">
        <f>'[3]2. Overall cum progress June 14'!E39</f>
        <v>109647</v>
      </c>
      <c r="F39" s="166">
        <f>'[7]2. Overall cum progress June 14'!F39</f>
        <v>22732</v>
      </c>
      <c r="G39" s="167">
        <v>1302312</v>
      </c>
      <c r="H39" s="157">
        <f>'[11]2. Overall com progres June-14'!H39</f>
        <v>674798</v>
      </c>
      <c r="I39" s="154">
        <v>0</v>
      </c>
      <c r="J39" s="166">
        <f>'[10]2. Overall cum progress June 14'!J39</f>
        <v>230592</v>
      </c>
      <c r="K39" s="166">
        <f>'[4]2. Overall cum progress June 14'!K39</f>
        <v>1676494</v>
      </c>
      <c r="L39" s="166">
        <f>'[8]2. Overall cum progress June 14'!L39</f>
        <v>411380</v>
      </c>
      <c r="M39" s="157">
        <f t="shared" si="26"/>
        <v>4812742</v>
      </c>
      <c r="N39" s="67">
        <f>M39/1000000</f>
        <v>4.8127420000000001</v>
      </c>
      <c r="O39" s="68">
        <f>476*15</f>
        <v>7140</v>
      </c>
      <c r="X39" s="63">
        <f>C39-'2. Overall cum progress Mar Ref'!C39</f>
        <v>0</v>
      </c>
      <c r="Y39" s="63">
        <f>D39-'2. Overall cum progress Mar Ref'!D39</f>
        <v>0</v>
      </c>
      <c r="Z39" s="63">
        <f>E39-'2. Overall cum progress Mar Ref'!E39</f>
        <v>0</v>
      </c>
      <c r="AA39" s="63">
        <f>F39-'2. Overall cum progress Mar Ref'!F39</f>
        <v>27</v>
      </c>
      <c r="AB39" s="63">
        <f>G39-'2. Overall cum progress Mar Ref'!G39</f>
        <v>7905</v>
      </c>
      <c r="AC39" s="63">
        <f>H39-'2. Overall cum progress Mar Ref'!H39</f>
        <v>0</v>
      </c>
      <c r="AD39" s="63">
        <f>I39-'2. Overall cum progress Mar Ref'!I39</f>
        <v>0</v>
      </c>
      <c r="AE39" s="63">
        <f>J39-'2. Overall cum progress Mar Ref'!J39</f>
        <v>0</v>
      </c>
      <c r="AF39" s="63">
        <f>K39-'2. Overall cum progress Mar Ref'!K39</f>
        <v>14426</v>
      </c>
      <c r="AG39" s="63">
        <f>L39-'2. Overall cum progress Mar Ref'!L39</f>
        <v>3200</v>
      </c>
      <c r="AH39" s="63">
        <f>M39-'2. Overall cum progress Mar Ref'!M39</f>
        <v>25558</v>
      </c>
    </row>
    <row r="40" spans="1:34" s="70" customFormat="1" x14ac:dyDescent="0.3">
      <c r="A40" s="299" t="s">
        <v>237</v>
      </c>
      <c r="B40" s="300"/>
      <c r="C40" s="157">
        <f>'2. Overall cum progress Mar Ref'!C40</f>
        <v>100347</v>
      </c>
      <c r="D40" s="157">
        <f>'2. Overall cum progress Mar Ref'!D40</f>
        <v>284440</v>
      </c>
      <c r="E40" s="166">
        <f>'[3]2. Overall cum progress June 14'!E40</f>
        <v>86779</v>
      </c>
      <c r="F40" s="166">
        <f>'[7]2. Overall cum progress June 14'!F40</f>
        <v>22707</v>
      </c>
      <c r="G40" s="167">
        <v>1240572</v>
      </c>
      <c r="H40" s="157">
        <f>'[11]2. Overall com progres June-14'!H40</f>
        <v>674798</v>
      </c>
      <c r="I40" s="154">
        <v>0</v>
      </c>
      <c r="J40" s="166">
        <f>'[10]2. Overall cum progress June 14'!J40</f>
        <v>230592</v>
      </c>
      <c r="K40" s="166">
        <f>'[4]2. Overall cum progress June 14'!K40</f>
        <v>1609055</v>
      </c>
      <c r="L40" s="166">
        <f>'[8]2. Overall cum progress June 14'!L40</f>
        <v>391411</v>
      </c>
      <c r="M40" s="157">
        <f t="shared" si="26"/>
        <v>4640701</v>
      </c>
      <c r="N40" s="67"/>
      <c r="O40" s="68"/>
      <c r="X40" s="63">
        <f>C40-'2. Overall cum progress Mar Ref'!C40</f>
        <v>0</v>
      </c>
      <c r="Y40" s="63">
        <f>D40-'2. Overall cum progress Mar Ref'!D40</f>
        <v>0</v>
      </c>
      <c r="Z40" s="63">
        <f>E40-'2. Overall cum progress Mar Ref'!E40</f>
        <v>2921</v>
      </c>
      <c r="AA40" s="63">
        <f>F40-'2. Overall cum progress Mar Ref'!F40</f>
        <v>642</v>
      </c>
      <c r="AB40" s="63">
        <f>G40-'2. Overall cum progress Mar Ref'!G40</f>
        <v>33199</v>
      </c>
      <c r="AC40" s="63">
        <f>H40-'2. Overall cum progress Mar Ref'!H40</f>
        <v>0</v>
      </c>
      <c r="AD40" s="63">
        <f>I40-'2. Overall cum progress Mar Ref'!I40</f>
        <v>0</v>
      </c>
      <c r="AE40" s="63">
        <f>J40-'2. Overall cum progress Mar Ref'!J40</f>
        <v>0</v>
      </c>
      <c r="AF40" s="63">
        <f>K40-'2. Overall cum progress Mar Ref'!K40</f>
        <v>2000</v>
      </c>
      <c r="AG40" s="63">
        <f>L40-'2. Overall cum progress Mar Ref'!L40</f>
        <v>5336</v>
      </c>
      <c r="AH40" s="63">
        <f>M40-'2. Overall cum progress Mar Ref'!M40</f>
        <v>44098</v>
      </c>
    </row>
    <row r="41" spans="1:34" s="71" customFormat="1" x14ac:dyDescent="0.3">
      <c r="A41" s="301" t="s">
        <v>290</v>
      </c>
      <c r="B41" s="302"/>
      <c r="C41" s="157">
        <f>'2. Overall cum progress Mar Ref'!C41</f>
        <v>635.803</v>
      </c>
      <c r="D41" s="157">
        <f>'2. Overall cum progress Mar Ref'!D41</f>
        <v>1825.46</v>
      </c>
      <c r="E41" s="166">
        <f>'[3]2. Overall cum progress June 14'!E41</f>
        <v>753</v>
      </c>
      <c r="F41" s="166">
        <f>'[7]2. Overall cum progress June 14'!F41</f>
        <v>265</v>
      </c>
      <c r="G41" s="167">
        <v>7559.2995309999997</v>
      </c>
      <c r="H41" s="157">
        <f>'[11]2. Overall com progres June-14'!H41</f>
        <v>1675.181</v>
      </c>
      <c r="I41" s="154">
        <v>0</v>
      </c>
      <c r="J41" s="166">
        <f>'[10]2. Overall cum progress June 14'!J41</f>
        <v>2596</v>
      </c>
      <c r="K41" s="166">
        <f>'[4]2. Overall cum progress June 14'!K41</f>
        <v>5011</v>
      </c>
      <c r="L41" s="166">
        <f>'[8]2. Overall cum progress June 14'!L41</f>
        <v>1011.245</v>
      </c>
      <c r="M41" s="157">
        <f t="shared" si="26"/>
        <v>21331.988530999999</v>
      </c>
      <c r="N41" s="84">
        <f>M41/90</f>
        <v>237.02209478888886</v>
      </c>
      <c r="O41" s="117">
        <f>M41/85</f>
        <v>250.96457095294116</v>
      </c>
      <c r="X41" s="63">
        <f>C41-'2. Overall cum progress Mar Ref'!C41</f>
        <v>0</v>
      </c>
      <c r="Y41" s="63">
        <f>D41-'2. Overall cum progress Mar Ref'!D41</f>
        <v>0</v>
      </c>
      <c r="Z41" s="63">
        <f>E41-'2. Overall cum progress Mar Ref'!E41</f>
        <v>-0.11000000000001364</v>
      </c>
      <c r="AA41" s="63">
        <f>F41-'2. Overall cum progress Mar Ref'!F41</f>
        <v>20</v>
      </c>
      <c r="AB41" s="63">
        <f>G41-'2. Overall cum progress Mar Ref'!G41</f>
        <v>131.50292599999921</v>
      </c>
      <c r="AC41" s="63">
        <f>H41-'2. Overall cum progress Mar Ref'!H41</f>
        <v>0</v>
      </c>
      <c r="AD41" s="63">
        <f>I41-'2. Overall cum progress Mar Ref'!I41</f>
        <v>0</v>
      </c>
      <c r="AE41" s="63">
        <f>J41-'2. Overall cum progress Mar Ref'!J41</f>
        <v>0</v>
      </c>
      <c r="AF41" s="63">
        <f>K41-'2. Overall cum progress Mar Ref'!K41</f>
        <v>30</v>
      </c>
      <c r="AG41" s="63">
        <f>L41-'2. Overall cum progress Mar Ref'!L41</f>
        <v>35.660000000000082</v>
      </c>
      <c r="AH41" s="63">
        <f>M41-'2. Overall cum progress Mar Ref'!M41</f>
        <v>217.0529260000003</v>
      </c>
    </row>
    <row r="42" spans="1:34" s="71" customFormat="1" x14ac:dyDescent="0.3">
      <c r="A42" s="303" t="s">
        <v>291</v>
      </c>
      <c r="B42" s="304"/>
      <c r="C42" s="157">
        <f>'2. Overall cum progress Mar Ref'!C42</f>
        <v>635.803</v>
      </c>
      <c r="D42" s="157">
        <f>'2. Overall cum progress Mar Ref'!D42</f>
        <v>1825.46</v>
      </c>
      <c r="E42" s="166">
        <f>'[3]2. Overall cum progress June 14'!E42</f>
        <v>656</v>
      </c>
      <c r="F42" s="166">
        <f>'[7]2. Overall cum progress June 14'!F42</f>
        <v>245</v>
      </c>
      <c r="G42" s="167">
        <v>6691.9798369999999</v>
      </c>
      <c r="H42" s="157">
        <f>'[11]2. Overall com progres June-14'!H42</f>
        <v>1675.181</v>
      </c>
      <c r="I42" s="154">
        <v>20</v>
      </c>
      <c r="J42" s="166">
        <f>'[10]2. Overall cum progress June 14'!J42</f>
        <v>2596</v>
      </c>
      <c r="K42" s="166">
        <f>'[4]2. Overall cum progress June 14'!K42</f>
        <v>4720</v>
      </c>
      <c r="L42" s="166">
        <f>'[8]2. Overall cum progress June 14'!L42</f>
        <v>965.69399999999996</v>
      </c>
      <c r="M42" s="157">
        <f t="shared" si="26"/>
        <v>20031.117837000002</v>
      </c>
      <c r="N42" s="84"/>
      <c r="O42" s="117"/>
      <c r="X42" s="63">
        <f>C42-'2. Overall cum progress Mar Ref'!C42</f>
        <v>0</v>
      </c>
      <c r="Y42" s="63">
        <f>D42-'2. Overall cum progress Mar Ref'!D42</f>
        <v>0</v>
      </c>
      <c r="Z42" s="63">
        <f>E42-'2. Overall cum progress Mar Ref'!E42</f>
        <v>60.830000000000041</v>
      </c>
      <c r="AA42" s="63">
        <f>F42-'2. Overall cum progress Mar Ref'!F42</f>
        <v>25</v>
      </c>
      <c r="AB42" s="63">
        <f>G42-'2. Overall cum progress Mar Ref'!G42</f>
        <v>174.41576799999984</v>
      </c>
      <c r="AC42" s="63">
        <f>H42-'2. Overall cum progress Mar Ref'!H42</f>
        <v>0</v>
      </c>
      <c r="AD42" s="63">
        <f>I42-'2. Overall cum progress Mar Ref'!I42</f>
        <v>0</v>
      </c>
      <c r="AE42" s="63">
        <f>J42-'2. Overall cum progress Mar Ref'!J42</f>
        <v>0</v>
      </c>
      <c r="AF42" s="63">
        <f>K42-'2. Overall cum progress Mar Ref'!K42</f>
        <v>510</v>
      </c>
      <c r="AG42" s="63">
        <f>L42-'2. Overall cum progress Mar Ref'!L42</f>
        <v>46.129999999999995</v>
      </c>
      <c r="AH42" s="63">
        <f>M42-'2. Overall cum progress Mar Ref'!M42</f>
        <v>816.3757680000017</v>
      </c>
    </row>
    <row r="43" spans="1:34" s="72" customFormat="1" x14ac:dyDescent="0.3">
      <c r="A43" s="305" t="s">
        <v>23</v>
      </c>
      <c r="B43" s="306" t="s">
        <v>24</v>
      </c>
      <c r="C43" s="157">
        <f>'2. Overall cum progress Mar Ref'!C43</f>
        <v>355</v>
      </c>
      <c r="D43" s="157">
        <f>'2. Overall cum progress Mar Ref'!D43</f>
        <v>867</v>
      </c>
      <c r="E43" s="166">
        <f>'[3]2. Overall cum progress June 14'!E43</f>
        <v>141</v>
      </c>
      <c r="F43" s="166">
        <f>'[7]2. Overall cum progress June 14'!F43</f>
        <v>3</v>
      </c>
      <c r="G43" s="167">
        <v>545</v>
      </c>
      <c r="H43" s="157">
        <f>'[11]2. Overall com progres June-14'!H43</f>
        <v>186</v>
      </c>
      <c r="I43" s="154">
        <v>25</v>
      </c>
      <c r="J43" s="166">
        <f>'[10]2. Overall cum progress June 14'!J43</f>
        <v>3</v>
      </c>
      <c r="K43" s="166">
        <f>'[4]2. Overall cum progress June 14'!K43</f>
        <v>89</v>
      </c>
      <c r="L43" s="166">
        <f>'[8]2. Overall cum progress June 14'!L43</f>
        <v>113</v>
      </c>
      <c r="M43" s="157">
        <f t="shared" si="26"/>
        <v>2327</v>
      </c>
      <c r="N43" s="84"/>
      <c r="O43" s="68"/>
      <c r="X43" s="63">
        <f>C43-'2. Overall cum progress Mar Ref'!C43</f>
        <v>0</v>
      </c>
      <c r="Y43" s="63">
        <f>D43-'2. Overall cum progress Mar Ref'!D43</f>
        <v>0</v>
      </c>
      <c r="Z43" s="63">
        <f>E43-'2. Overall cum progress Mar Ref'!E43</f>
        <v>0</v>
      </c>
      <c r="AA43" s="63">
        <f>F43-'2. Overall cum progress Mar Ref'!F43</f>
        <v>0</v>
      </c>
      <c r="AB43" s="63">
        <f>G43-'2. Overall cum progress Mar Ref'!G43</f>
        <v>0</v>
      </c>
      <c r="AC43" s="63">
        <f>H43-'2. Overall cum progress Mar Ref'!H43</f>
        <v>-5</v>
      </c>
      <c r="AD43" s="63">
        <f>I43-'2. Overall cum progress Mar Ref'!I43</f>
        <v>0</v>
      </c>
      <c r="AE43" s="63">
        <f>J43-'2. Overall cum progress Mar Ref'!J43</f>
        <v>1</v>
      </c>
      <c r="AF43" s="63">
        <f>K43-'2. Overall cum progress Mar Ref'!K43</f>
        <v>0</v>
      </c>
      <c r="AG43" s="63">
        <f>L43-'2. Overall cum progress Mar Ref'!L43</f>
        <v>0</v>
      </c>
      <c r="AH43" s="63">
        <f>M43-'2. Overall cum progress Mar Ref'!M43</f>
        <v>-4</v>
      </c>
    </row>
    <row r="44" spans="1:34" s="63" customFormat="1" x14ac:dyDescent="0.3">
      <c r="A44" s="284" t="s">
        <v>25</v>
      </c>
      <c r="B44" s="64" t="s">
        <v>24</v>
      </c>
      <c r="C44" s="157">
        <f>'2. Overall cum progress Mar Ref'!C44</f>
        <v>11370</v>
      </c>
      <c r="D44" s="157">
        <f>'2. Overall cum progress Mar Ref'!D44</f>
        <v>2900</v>
      </c>
      <c r="E44" s="166">
        <f>'[3]2. Overall cum progress June 14'!E44</f>
        <v>4453</v>
      </c>
      <c r="F44" s="166">
        <f>'[7]2. Overall cum progress June 14'!F44</f>
        <v>780</v>
      </c>
      <c r="G44" s="167">
        <v>9852</v>
      </c>
      <c r="H44" s="157">
        <f>'[11]2. Overall com progres June-14'!H44</f>
        <v>4661</v>
      </c>
      <c r="I44" s="154">
        <v>3526</v>
      </c>
      <c r="J44" s="166">
        <f>'[10]2. Overall cum progress June 14'!J44</f>
        <v>288</v>
      </c>
      <c r="K44" s="166">
        <f>'[4]2. Overall cum progress June 14'!K44</f>
        <v>2182</v>
      </c>
      <c r="L44" s="166">
        <f>'[8]2. Overall cum progress June 14'!L44</f>
        <v>1947</v>
      </c>
      <c r="M44" s="157">
        <f t="shared" si="26"/>
        <v>41959</v>
      </c>
      <c r="N44" s="84"/>
      <c r="O44" s="68"/>
      <c r="X44" s="63">
        <f>C44-'2. Overall cum progress Mar Ref'!C44</f>
        <v>0</v>
      </c>
      <c r="Y44" s="63">
        <f>D44-'2. Overall cum progress Mar Ref'!D44</f>
        <v>0</v>
      </c>
      <c r="Z44" s="63">
        <f>E44-'2. Overall cum progress Mar Ref'!E44</f>
        <v>0</v>
      </c>
      <c r="AA44" s="63">
        <f>F44-'2. Overall cum progress Mar Ref'!F44</f>
        <v>0</v>
      </c>
      <c r="AB44" s="63">
        <f>G44-'2. Overall cum progress Mar Ref'!G44</f>
        <v>0</v>
      </c>
      <c r="AC44" s="63">
        <f>H44-'2. Overall cum progress Mar Ref'!H44</f>
        <v>-1407</v>
      </c>
      <c r="AD44" s="63">
        <f>I44-'2. Overall cum progress Mar Ref'!I44</f>
        <v>0</v>
      </c>
      <c r="AE44" s="63">
        <f>J44-'2. Overall cum progress Mar Ref'!J44</f>
        <v>263</v>
      </c>
      <c r="AF44" s="63">
        <f>K44-'2. Overall cum progress Mar Ref'!K44</f>
        <v>57</v>
      </c>
      <c r="AG44" s="63">
        <f>L44-'2. Overall cum progress Mar Ref'!L44</f>
        <v>0</v>
      </c>
      <c r="AH44" s="63">
        <f>M44-'2. Overall cum progress Mar Ref'!M44</f>
        <v>-1087</v>
      </c>
    </row>
    <row r="45" spans="1:34" s="63" customFormat="1" x14ac:dyDescent="0.3">
      <c r="A45" s="284"/>
      <c r="B45" s="65" t="s">
        <v>26</v>
      </c>
      <c r="C45" s="157">
        <f>'2. Overall cum progress Mar Ref'!C45</f>
        <v>9922</v>
      </c>
      <c r="D45" s="157">
        <f>'2. Overall cum progress Mar Ref'!D45</f>
        <v>7375</v>
      </c>
      <c r="E45" s="166">
        <f>'[3]2. Overall cum progress June 14'!E45</f>
        <v>5543</v>
      </c>
      <c r="F45" s="166">
        <f>'[7]2. Overall cum progress June 14'!F45</f>
        <v>608</v>
      </c>
      <c r="G45" s="167">
        <v>10537</v>
      </c>
      <c r="H45" s="157">
        <f>'[11]2. Overall com progres June-14'!H45</f>
        <v>5838</v>
      </c>
      <c r="I45" s="154">
        <v>5110</v>
      </c>
      <c r="J45" s="166">
        <f>'[10]2. Overall cum progress June 14'!J45</f>
        <v>605</v>
      </c>
      <c r="K45" s="166">
        <f>'[4]2. Overall cum progress June 14'!K45</f>
        <v>3046</v>
      </c>
      <c r="L45" s="166">
        <f>'[8]2. Overall cum progress June 14'!L45</f>
        <v>707</v>
      </c>
      <c r="M45" s="157">
        <f t="shared" si="26"/>
        <v>49291</v>
      </c>
      <c r="N45" s="84"/>
      <c r="O45" s="68"/>
      <c r="X45" s="63">
        <f>C45-'2. Overall cum progress Mar Ref'!C45</f>
        <v>0</v>
      </c>
      <c r="Y45" s="63">
        <f>D45-'2. Overall cum progress Mar Ref'!D45</f>
        <v>0</v>
      </c>
      <c r="Z45" s="63">
        <f>E45-'2. Overall cum progress Mar Ref'!E45</f>
        <v>0</v>
      </c>
      <c r="AA45" s="63">
        <f>F45-'2. Overall cum progress Mar Ref'!F45</f>
        <v>0</v>
      </c>
      <c r="AB45" s="63">
        <f>G45-'2. Overall cum progress Mar Ref'!G45</f>
        <v>0</v>
      </c>
      <c r="AC45" s="63">
        <f>H45-'2. Overall cum progress Mar Ref'!H45</f>
        <v>984</v>
      </c>
      <c r="AD45" s="63">
        <f>I45-'2. Overall cum progress Mar Ref'!I45</f>
        <v>0</v>
      </c>
      <c r="AE45" s="63">
        <f>J45-'2. Overall cum progress Mar Ref'!J45</f>
        <v>550</v>
      </c>
      <c r="AF45" s="63">
        <f>K45-'2. Overall cum progress Mar Ref'!K45</f>
        <v>0</v>
      </c>
      <c r="AG45" s="63">
        <f>L45-'2. Overall cum progress Mar Ref'!L45</f>
        <v>0</v>
      </c>
      <c r="AH45" s="63">
        <f>M45-'2. Overall cum progress Mar Ref'!M45</f>
        <v>1534</v>
      </c>
    </row>
    <row r="46" spans="1:34" s="63" customFormat="1" x14ac:dyDescent="0.3">
      <c r="A46" s="284"/>
      <c r="B46" s="66" t="s">
        <v>16</v>
      </c>
      <c r="C46" s="158">
        <f>SUM(C44:C45)</f>
        <v>21292</v>
      </c>
      <c r="D46" s="158">
        <f t="shared" ref="D46:M46" si="27">SUM(D44:D45)</f>
        <v>10275</v>
      </c>
      <c r="E46" s="158">
        <f t="shared" si="27"/>
        <v>9996</v>
      </c>
      <c r="F46" s="158">
        <f t="shared" ref="F46:G46" si="28">SUM(F44:F45)</f>
        <v>1388</v>
      </c>
      <c r="G46" s="158">
        <f t="shared" si="28"/>
        <v>20389</v>
      </c>
      <c r="H46" s="158">
        <f>SUM(H44:H45)</f>
        <v>10499</v>
      </c>
      <c r="I46" s="158">
        <f t="shared" si="27"/>
        <v>8636</v>
      </c>
      <c r="J46" s="158">
        <f t="shared" si="27"/>
        <v>893</v>
      </c>
      <c r="K46" s="158">
        <f t="shared" si="27"/>
        <v>5228</v>
      </c>
      <c r="L46" s="158">
        <f t="shared" ref="L46" si="29">SUM(L44:L45)</f>
        <v>2654</v>
      </c>
      <c r="M46" s="158">
        <f t="shared" si="27"/>
        <v>91250</v>
      </c>
      <c r="N46" s="85">
        <f>M44/M46%</f>
        <v>45.982465753424655</v>
      </c>
      <c r="O46" s="68"/>
      <c r="X46" s="63">
        <f>C46-'2. Overall cum progress Mar Ref'!C46</f>
        <v>0</v>
      </c>
      <c r="Y46" s="63">
        <f>D46-'2. Overall cum progress Mar Ref'!D46</f>
        <v>0</v>
      </c>
      <c r="Z46" s="63">
        <f>E46-'2. Overall cum progress Mar Ref'!E46</f>
        <v>0</v>
      </c>
      <c r="AA46" s="63">
        <f>F46-'2. Overall cum progress Mar Ref'!F46</f>
        <v>0</v>
      </c>
      <c r="AB46" s="63">
        <f>G46-'2. Overall cum progress Mar Ref'!G46</f>
        <v>0</v>
      </c>
      <c r="AC46" s="63">
        <f>H46-'2. Overall cum progress Mar Ref'!H46</f>
        <v>-423</v>
      </c>
      <c r="AD46" s="63">
        <f>I46-'2. Overall cum progress Mar Ref'!I46</f>
        <v>0</v>
      </c>
      <c r="AE46" s="63">
        <f>J46-'2. Overall cum progress Mar Ref'!J46</f>
        <v>813</v>
      </c>
      <c r="AF46" s="63">
        <f>K46-'2. Overall cum progress Mar Ref'!K46</f>
        <v>57</v>
      </c>
      <c r="AG46" s="63">
        <f>L46-'2. Overall cum progress Mar Ref'!L46</f>
        <v>0</v>
      </c>
      <c r="AH46" s="63">
        <f>M46-'2. Overall cum progress Mar Ref'!M46</f>
        <v>447</v>
      </c>
    </row>
    <row r="47" spans="1:34" s="63" customFormat="1" x14ac:dyDescent="0.3">
      <c r="A47" s="307" t="s">
        <v>292</v>
      </c>
      <c r="B47" s="64" t="s">
        <v>17</v>
      </c>
      <c r="C47" s="157">
        <f>'2. Overall cum progress Mar Ref'!C47</f>
        <v>0</v>
      </c>
      <c r="D47" s="157">
        <f>'2. Overall cum progress Mar Ref'!D47</f>
        <v>0</v>
      </c>
      <c r="E47" s="166">
        <f>'[3]2. Overall cum progress June 14'!E47</f>
        <v>0</v>
      </c>
      <c r="F47" s="166">
        <f>'[7]2. Overall cum progress June 14'!F47</f>
        <v>0</v>
      </c>
      <c r="G47" s="167">
        <v>22888</v>
      </c>
      <c r="H47" s="157">
        <f>'[11]2. Overall com progres June-14'!H47</f>
        <v>0</v>
      </c>
      <c r="I47" s="154"/>
      <c r="J47" s="166">
        <f>'[10]2. Overall cum progress June 14'!J47</f>
        <v>0</v>
      </c>
      <c r="K47" s="166">
        <f>'[4]2. Overall cum progress June 14'!K47</f>
        <v>3989</v>
      </c>
      <c r="L47" s="166">
        <f>'[8]2. Overall cum progress June 14'!L47</f>
        <v>0</v>
      </c>
      <c r="M47" s="157">
        <f>SUM(C47:L47)</f>
        <v>26877</v>
      </c>
      <c r="N47" s="84"/>
      <c r="O47" s="68"/>
      <c r="X47" s="63">
        <f>C47-'2. Overall cum progress Mar Ref'!C47</f>
        <v>0</v>
      </c>
      <c r="Y47" s="63">
        <f>D47-'2. Overall cum progress Mar Ref'!D47</f>
        <v>0</v>
      </c>
      <c r="Z47" s="63">
        <f>E47-'2. Overall cum progress Mar Ref'!E47</f>
        <v>0</v>
      </c>
      <c r="AA47" s="63">
        <f>F47-'2. Overall cum progress Mar Ref'!F47</f>
        <v>0</v>
      </c>
      <c r="AB47" s="63">
        <f>G47-'2. Overall cum progress Mar Ref'!G47</f>
        <v>0</v>
      </c>
      <c r="AC47" s="63">
        <f>H47-'2. Overall cum progress Mar Ref'!H47</f>
        <v>0</v>
      </c>
      <c r="AD47" s="63">
        <f>I47-'2. Overall cum progress Mar Ref'!I47</f>
        <v>0</v>
      </c>
      <c r="AE47" s="63">
        <f>J47-'2. Overall cum progress Mar Ref'!J47</f>
        <v>0</v>
      </c>
      <c r="AF47" s="63">
        <f>K47-'2. Overall cum progress Mar Ref'!K47</f>
        <v>643</v>
      </c>
      <c r="AG47" s="63">
        <f>L47-'2. Overall cum progress Mar Ref'!L47</f>
        <v>0</v>
      </c>
      <c r="AH47" s="63">
        <f>M47-'2. Overall cum progress Mar Ref'!M47</f>
        <v>643</v>
      </c>
    </row>
    <row r="48" spans="1:34" s="63" customFormat="1" x14ac:dyDescent="0.3">
      <c r="A48" s="307"/>
      <c r="B48" s="65" t="s">
        <v>18</v>
      </c>
      <c r="C48" s="157">
        <f>'2. Overall cum progress Mar Ref'!C48</f>
        <v>0</v>
      </c>
      <c r="D48" s="157">
        <f>'2. Overall cum progress Mar Ref'!D48</f>
        <v>0</v>
      </c>
      <c r="E48" s="166">
        <f>'[3]2. Overall cum progress June 14'!E48</f>
        <v>0</v>
      </c>
      <c r="F48" s="166">
        <f>'[7]2. Overall cum progress June 14'!F48</f>
        <v>0</v>
      </c>
      <c r="G48" s="167">
        <v>2494</v>
      </c>
      <c r="H48" s="157">
        <f>'[11]2. Overall com progres June-14'!H48</f>
        <v>0</v>
      </c>
      <c r="I48" s="154"/>
      <c r="J48" s="166">
        <f>'[10]2. Overall cum progress June 14'!J48</f>
        <v>0</v>
      </c>
      <c r="K48" s="166">
        <f>'[4]2. Overall cum progress June 14'!K48</f>
        <v>722</v>
      </c>
      <c r="L48" s="166">
        <f>'[8]2. Overall cum progress June 14'!L48</f>
        <v>0</v>
      </c>
      <c r="M48" s="157">
        <f>SUM(C48:L48)</f>
        <v>3216</v>
      </c>
      <c r="N48" s="84"/>
      <c r="O48" s="68"/>
      <c r="X48" s="63">
        <f>C48-'2. Overall cum progress Mar Ref'!C48</f>
        <v>0</v>
      </c>
      <c r="Y48" s="63">
        <f>D48-'2. Overall cum progress Mar Ref'!D48</f>
        <v>0</v>
      </c>
      <c r="Z48" s="63">
        <f>E48-'2. Overall cum progress Mar Ref'!E48</f>
        <v>0</v>
      </c>
      <c r="AA48" s="63">
        <f>F48-'2. Overall cum progress Mar Ref'!F48</f>
        <v>0</v>
      </c>
      <c r="AB48" s="63">
        <f>G48-'2. Overall cum progress Mar Ref'!G48</f>
        <v>0</v>
      </c>
      <c r="AC48" s="63">
        <f>H48-'2. Overall cum progress Mar Ref'!H48</f>
        <v>0</v>
      </c>
      <c r="AD48" s="63">
        <f>I48-'2. Overall cum progress Mar Ref'!I48</f>
        <v>0</v>
      </c>
      <c r="AE48" s="63">
        <f>J48-'2. Overall cum progress Mar Ref'!J48</f>
        <v>0</v>
      </c>
      <c r="AF48" s="63">
        <f>K48-'2. Overall cum progress Mar Ref'!K48</f>
        <v>0</v>
      </c>
      <c r="AG48" s="63">
        <f>L48-'2. Overall cum progress Mar Ref'!L48</f>
        <v>0</v>
      </c>
      <c r="AH48" s="63">
        <f>M48-'2. Overall cum progress Mar Ref'!M48</f>
        <v>0</v>
      </c>
    </row>
    <row r="49" spans="1:34" s="63" customFormat="1" x14ac:dyDescent="0.3">
      <c r="A49" s="307"/>
      <c r="B49" s="66" t="s">
        <v>16</v>
      </c>
      <c r="C49" s="158">
        <f>SUM(C47:C48)</f>
        <v>0</v>
      </c>
      <c r="D49" s="158">
        <f t="shared" ref="D49:M49" si="30">SUM(D47:D48)</f>
        <v>0</v>
      </c>
      <c r="E49" s="219">
        <v>0</v>
      </c>
      <c r="F49" s="158">
        <f t="shared" ref="F49:G49" si="31">SUM(F47:F48)</f>
        <v>0</v>
      </c>
      <c r="G49" s="158">
        <f t="shared" si="31"/>
        <v>25382</v>
      </c>
      <c r="H49" s="158">
        <f>SUM(H47:H48)</f>
        <v>0</v>
      </c>
      <c r="I49" s="158">
        <f t="shared" si="30"/>
        <v>0</v>
      </c>
      <c r="J49" s="158">
        <f t="shared" si="30"/>
        <v>0</v>
      </c>
      <c r="K49" s="158">
        <f t="shared" si="30"/>
        <v>4711</v>
      </c>
      <c r="L49" s="158">
        <f t="shared" ref="L49" si="32">SUM(L47:L48)</f>
        <v>0</v>
      </c>
      <c r="M49" s="158">
        <f t="shared" si="30"/>
        <v>30093</v>
      </c>
      <c r="N49" s="84"/>
      <c r="O49" s="68"/>
      <c r="X49" s="63">
        <f>C49-'2. Overall cum progress Mar Ref'!C49</f>
        <v>0</v>
      </c>
      <c r="Y49" s="63">
        <f>D49-'2. Overall cum progress Mar Ref'!D49</f>
        <v>0</v>
      </c>
      <c r="Z49" s="63">
        <f>E49-'2. Overall cum progress Mar Ref'!E49</f>
        <v>0</v>
      </c>
      <c r="AA49" s="63">
        <f>F49-'2. Overall cum progress Mar Ref'!F49</f>
        <v>0</v>
      </c>
      <c r="AB49" s="63">
        <f>G49-'2. Overall cum progress Mar Ref'!G49</f>
        <v>0</v>
      </c>
      <c r="AC49" s="63">
        <f>H49-'2. Overall cum progress Mar Ref'!H49</f>
        <v>0</v>
      </c>
      <c r="AD49" s="63">
        <f>I49-'2. Overall cum progress Mar Ref'!I49</f>
        <v>0</v>
      </c>
      <c r="AE49" s="63">
        <f>J49-'2. Overall cum progress Mar Ref'!J49</f>
        <v>0</v>
      </c>
      <c r="AF49" s="63">
        <f>K49-'2. Overall cum progress Mar Ref'!K49</f>
        <v>643</v>
      </c>
      <c r="AG49" s="63">
        <f>L49-'2. Overall cum progress Mar Ref'!L49</f>
        <v>0</v>
      </c>
      <c r="AH49" s="63">
        <f>M49-'2. Overall cum progress Mar Ref'!M49</f>
        <v>643</v>
      </c>
    </row>
    <row r="50" spans="1:34" s="63" customFormat="1" x14ac:dyDescent="0.3">
      <c r="A50" s="284" t="s">
        <v>293</v>
      </c>
      <c r="B50" s="64" t="s">
        <v>17</v>
      </c>
      <c r="C50" s="157">
        <f>'2. Overall cum progress Mar Ref'!C50</f>
        <v>31</v>
      </c>
      <c r="D50" s="157">
        <f>'2. Overall cum progress Mar Ref'!D50</f>
        <v>1243</v>
      </c>
      <c r="E50" s="166">
        <f>'[3]2. Overall cum progress June 14'!E50</f>
        <v>1688</v>
      </c>
      <c r="F50" s="166">
        <f>'[7]2. Overall cum progress June 14'!F50</f>
        <v>95</v>
      </c>
      <c r="G50" s="167">
        <v>3153</v>
      </c>
      <c r="H50" s="157">
        <f>'[11]2. Overall com progres June-14'!H50</f>
        <v>8442</v>
      </c>
      <c r="I50" s="154">
        <v>410</v>
      </c>
      <c r="J50" s="166">
        <f>'[10]2. Overall cum progress June 14'!J50</f>
        <v>4777</v>
      </c>
      <c r="K50" s="166">
        <f>'[4]2. Overall cum progress June 14'!K50</f>
        <v>1066</v>
      </c>
      <c r="L50" s="166">
        <f>'[8]2. Overall cum progress June 14'!L50</f>
        <v>867</v>
      </c>
      <c r="M50" s="157">
        <f>SUM(C50:L50)</f>
        <v>21772</v>
      </c>
      <c r="N50" s="84"/>
      <c r="O50" s="68"/>
      <c r="X50" s="63">
        <f>C50-'2. Overall cum progress Mar Ref'!C50</f>
        <v>0</v>
      </c>
      <c r="Y50" s="63">
        <f>D50-'2. Overall cum progress Mar Ref'!D50</f>
        <v>0</v>
      </c>
      <c r="Z50" s="63">
        <f>E50-'2. Overall cum progress Mar Ref'!E50</f>
        <v>0</v>
      </c>
      <c r="AA50" s="63">
        <f>F50-'2. Overall cum progress Mar Ref'!F50</f>
        <v>0</v>
      </c>
      <c r="AB50" s="63">
        <f>G50-'2. Overall cum progress Mar Ref'!G50</f>
        <v>0</v>
      </c>
      <c r="AC50" s="63">
        <f>H50-'2. Overall cum progress Mar Ref'!H50</f>
        <v>0</v>
      </c>
      <c r="AD50" s="63">
        <f>I50-'2. Overall cum progress Mar Ref'!I50</f>
        <v>0</v>
      </c>
      <c r="AE50" s="63">
        <f>J50-'2. Overall cum progress Mar Ref'!J50</f>
        <v>0</v>
      </c>
      <c r="AF50" s="63">
        <f>K50-'2. Overall cum progress Mar Ref'!K50</f>
        <v>0</v>
      </c>
      <c r="AG50" s="63">
        <f>L50-'2. Overall cum progress Mar Ref'!L50</f>
        <v>0</v>
      </c>
      <c r="AH50" s="63">
        <f>M50-'2. Overall cum progress Mar Ref'!M50</f>
        <v>0</v>
      </c>
    </row>
    <row r="51" spans="1:34" s="63" customFormat="1" x14ac:dyDescent="0.3">
      <c r="A51" s="284"/>
      <c r="B51" s="65" t="s">
        <v>18</v>
      </c>
      <c r="C51" s="157">
        <f>'2. Overall cum progress Mar Ref'!C51</f>
        <v>0</v>
      </c>
      <c r="D51" s="157">
        <f>'2. Overall cum progress Mar Ref'!D51</f>
        <v>0</v>
      </c>
      <c r="E51" s="166">
        <f>'[3]2. Overall cum progress June 14'!E51</f>
        <v>0</v>
      </c>
      <c r="F51" s="166">
        <f>'[7]2. Overall cum progress June 14'!F51</f>
        <v>0</v>
      </c>
      <c r="G51" s="167">
        <v>0</v>
      </c>
      <c r="H51" s="157">
        <f>'[11]2. Overall com progres June-14'!H51</f>
        <v>1770</v>
      </c>
      <c r="I51" s="154"/>
      <c r="J51" s="166">
        <f>'[10]2. Overall cum progress June 14'!J51</f>
        <v>0</v>
      </c>
      <c r="K51" s="166">
        <f>'[4]2. Overall cum progress June 14'!K51</f>
        <v>467</v>
      </c>
      <c r="L51" s="166">
        <f>'[8]2. Overall cum progress June 14'!L51</f>
        <v>675</v>
      </c>
      <c r="M51" s="157">
        <f>SUM(C51:L51)</f>
        <v>2912</v>
      </c>
      <c r="N51" s="84"/>
      <c r="O51" s="68"/>
      <c r="X51" s="63">
        <f>C51-'2. Overall cum progress Mar Ref'!C51</f>
        <v>0</v>
      </c>
      <c r="Y51" s="63">
        <f>D51-'2. Overall cum progress Mar Ref'!D51</f>
        <v>0</v>
      </c>
      <c r="Z51" s="63">
        <f>E51-'2. Overall cum progress Mar Ref'!E51</f>
        <v>0</v>
      </c>
      <c r="AA51" s="63">
        <f>F51-'2. Overall cum progress Mar Ref'!F51</f>
        <v>0</v>
      </c>
      <c r="AB51" s="63">
        <f>G51-'2. Overall cum progress Mar Ref'!G51</f>
        <v>0</v>
      </c>
      <c r="AC51" s="63">
        <f>H51-'2. Overall cum progress Mar Ref'!H51</f>
        <v>0</v>
      </c>
      <c r="AD51" s="63">
        <f>I51-'2. Overall cum progress Mar Ref'!I51</f>
        <v>0</v>
      </c>
      <c r="AE51" s="63">
        <f>J51-'2. Overall cum progress Mar Ref'!J51</f>
        <v>0</v>
      </c>
      <c r="AF51" s="63">
        <f>K51-'2. Overall cum progress Mar Ref'!K51</f>
        <v>0</v>
      </c>
      <c r="AG51" s="63">
        <f>L51-'2. Overall cum progress Mar Ref'!L51</f>
        <v>0</v>
      </c>
      <c r="AH51" s="63">
        <f>M51-'2. Overall cum progress Mar Ref'!M51</f>
        <v>0</v>
      </c>
    </row>
    <row r="52" spans="1:34" s="63" customFormat="1" ht="14.4" thickBot="1" x14ac:dyDescent="0.35">
      <c r="A52" s="295"/>
      <c r="B52" s="73" t="s">
        <v>16</v>
      </c>
      <c r="C52" s="158">
        <f t="shared" ref="C52:M52" si="33">SUM(C50:C51)</f>
        <v>31</v>
      </c>
      <c r="D52" s="158">
        <f t="shared" si="33"/>
        <v>1243</v>
      </c>
      <c r="E52" s="158">
        <f t="shared" si="33"/>
        <v>1688</v>
      </c>
      <c r="F52" s="158">
        <f t="shared" ref="F52:G52" si="34">SUM(F50:F51)</f>
        <v>95</v>
      </c>
      <c r="G52" s="158">
        <f t="shared" si="34"/>
        <v>3153</v>
      </c>
      <c r="H52" s="158">
        <f>SUM(H50:H51)</f>
        <v>10212</v>
      </c>
      <c r="I52" s="158">
        <f t="shared" si="33"/>
        <v>410</v>
      </c>
      <c r="J52" s="158">
        <f t="shared" si="33"/>
        <v>4777</v>
      </c>
      <c r="K52" s="158">
        <f t="shared" si="33"/>
        <v>1533</v>
      </c>
      <c r="L52" s="158">
        <f t="shared" ref="L52" si="35">SUM(L50:L51)</f>
        <v>1542</v>
      </c>
      <c r="M52" s="158">
        <f t="shared" si="33"/>
        <v>24684</v>
      </c>
      <c r="N52" s="84"/>
      <c r="O52" s="68"/>
      <c r="X52" s="63">
        <f>C52-'2. Overall cum progress Mar Ref'!C52</f>
        <v>0</v>
      </c>
      <c r="Y52" s="63">
        <f>D52-'2. Overall cum progress Mar Ref'!D52</f>
        <v>0</v>
      </c>
      <c r="Z52" s="63">
        <f>E52-'2. Overall cum progress Mar Ref'!E52</f>
        <v>0</v>
      </c>
      <c r="AA52" s="63">
        <f>F52-'2. Overall cum progress Mar Ref'!F52</f>
        <v>0</v>
      </c>
      <c r="AB52" s="63">
        <f>G52-'2. Overall cum progress Mar Ref'!G52</f>
        <v>0</v>
      </c>
      <c r="AC52" s="63">
        <f>H52-'2. Overall cum progress Mar Ref'!H52</f>
        <v>0</v>
      </c>
      <c r="AD52" s="63">
        <f>I52-'2. Overall cum progress Mar Ref'!I52</f>
        <v>0</v>
      </c>
      <c r="AE52" s="63">
        <f>J52-'2. Overall cum progress Mar Ref'!J52</f>
        <v>0</v>
      </c>
      <c r="AF52" s="63">
        <f>K52-'2. Overall cum progress Mar Ref'!K52</f>
        <v>0</v>
      </c>
      <c r="AG52" s="63">
        <f>L52-'2. Overall cum progress Mar Ref'!L52</f>
        <v>0</v>
      </c>
      <c r="AH52" s="63">
        <f>M52-'2. Overall cum progress Mar Ref'!M52</f>
        <v>0</v>
      </c>
    </row>
    <row r="53" spans="1:34" x14ac:dyDescent="0.3">
      <c r="A53" s="74" t="s">
        <v>317</v>
      </c>
      <c r="E53" s="166"/>
      <c r="G53" s="129"/>
      <c r="H53" s="118"/>
      <c r="I53" s="154"/>
      <c r="K53" s="157"/>
      <c r="L53" s="131"/>
    </row>
    <row r="54" spans="1:34" x14ac:dyDescent="0.3">
      <c r="A54" s="74" t="s">
        <v>326</v>
      </c>
      <c r="E54" s="101"/>
      <c r="G54" s="74"/>
      <c r="H54" s="118"/>
    </row>
    <row r="55" spans="1:34" x14ac:dyDescent="0.3">
      <c r="A55" s="216" t="s">
        <v>270</v>
      </c>
      <c r="E55" s="101"/>
    </row>
    <row r="56" spans="1:34" x14ac:dyDescent="0.3">
      <c r="E56" s="101"/>
    </row>
    <row r="57" spans="1:34" x14ac:dyDescent="0.3">
      <c r="E57" s="157"/>
    </row>
  </sheetData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ColWidth="9.109375" defaultRowHeight="13.8" x14ac:dyDescent="0.3"/>
  <cols>
    <col min="1" max="1" width="30" style="74" customWidth="1"/>
    <col min="2" max="2" width="21.6640625" style="74" customWidth="1"/>
    <col min="3" max="3" width="9.6640625" style="74" bestFit="1" customWidth="1"/>
    <col min="4" max="4" width="10.6640625" style="60" bestFit="1" customWidth="1"/>
    <col min="5" max="5" width="10.6640625" style="160" bestFit="1" customWidth="1"/>
    <col min="6" max="6" width="12.6640625" style="60" customWidth="1"/>
    <col min="7" max="7" width="12.109375" style="60" bestFit="1" customWidth="1"/>
    <col min="8" max="8" width="14.6640625" style="60" customWidth="1"/>
    <col min="9" max="9" width="9.6640625" style="60" bestFit="1" customWidth="1"/>
    <col min="10" max="10" width="10.6640625" style="60" customWidth="1"/>
    <col min="11" max="11" width="12.109375" style="60" bestFit="1" customWidth="1"/>
    <col min="12" max="12" width="10.6640625" style="60" bestFit="1" customWidth="1"/>
    <col min="13" max="13" width="12.109375" style="60" bestFit="1" customWidth="1"/>
    <col min="14" max="14" width="10" style="60" bestFit="1" customWidth="1"/>
    <col min="15" max="15" width="13.109375" style="60" bestFit="1" customWidth="1"/>
    <col min="16" max="16" width="12.44140625" style="60" bestFit="1" customWidth="1"/>
    <col min="17" max="16384" width="9.109375" style="60"/>
  </cols>
  <sheetData>
    <row r="1" spans="1:20" ht="14.4" thickBot="1" x14ac:dyDescent="0.35">
      <c r="A1" s="226" t="s">
        <v>312</v>
      </c>
      <c r="B1" s="227"/>
      <c r="C1" s="227"/>
      <c r="D1" s="228"/>
      <c r="E1" s="229"/>
      <c r="F1" s="228"/>
      <c r="G1" s="230"/>
      <c r="H1" s="230"/>
      <c r="I1" s="228"/>
      <c r="J1" s="228"/>
      <c r="K1" s="228"/>
      <c r="L1" s="228"/>
      <c r="M1" s="227"/>
    </row>
    <row r="2" spans="1:20" s="76" customFormat="1" x14ac:dyDescent="0.25">
      <c r="A2" s="309" t="s">
        <v>0</v>
      </c>
      <c r="B2" s="310"/>
      <c r="C2" s="231" t="s">
        <v>271</v>
      </c>
      <c r="D2" s="231" t="s">
        <v>2</v>
      </c>
      <c r="E2" s="231" t="s">
        <v>3</v>
      </c>
      <c r="F2" s="231" t="s">
        <v>4</v>
      </c>
      <c r="G2" s="232" t="s">
        <v>5</v>
      </c>
      <c r="H2" s="231" t="s">
        <v>6</v>
      </c>
      <c r="I2" s="231" t="s">
        <v>7</v>
      </c>
      <c r="J2" s="231" t="s">
        <v>8</v>
      </c>
      <c r="K2" s="231" t="s">
        <v>9</v>
      </c>
      <c r="L2" s="231" t="s">
        <v>10</v>
      </c>
      <c r="M2" s="233" t="s">
        <v>16</v>
      </c>
    </row>
    <row r="3" spans="1:20" ht="13.5" customHeight="1" x14ac:dyDescent="0.3">
      <c r="A3" s="234"/>
      <c r="B3" s="235"/>
      <c r="C3" s="235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20" s="63" customFormat="1" x14ac:dyDescent="0.3">
      <c r="A4" s="311" t="s">
        <v>220</v>
      </c>
      <c r="B4" s="311"/>
      <c r="C4" s="237">
        <v>8</v>
      </c>
      <c r="D4" s="237">
        <v>7</v>
      </c>
      <c r="E4" s="237">
        <v>14</v>
      </c>
      <c r="F4" s="237">
        <v>3</v>
      </c>
      <c r="G4" s="237">
        <v>55</v>
      </c>
      <c r="H4" s="237">
        <v>21</v>
      </c>
      <c r="I4" s="237">
        <v>1</v>
      </c>
      <c r="J4" s="237">
        <v>9</v>
      </c>
      <c r="K4" s="237">
        <v>25</v>
      </c>
      <c r="L4" s="237">
        <v>4</v>
      </c>
      <c r="M4" s="237">
        <v>120</v>
      </c>
      <c r="N4" s="84"/>
      <c r="O4" s="68"/>
    </row>
    <row r="5" spans="1:20" s="63" customFormat="1" x14ac:dyDescent="0.3">
      <c r="A5" s="312" t="s">
        <v>11</v>
      </c>
      <c r="B5" s="311"/>
      <c r="C5" s="237">
        <v>136</v>
      </c>
      <c r="D5" s="238">
        <v>118</v>
      </c>
      <c r="E5" s="238">
        <v>204</v>
      </c>
      <c r="F5" s="238">
        <v>22</v>
      </c>
      <c r="G5" s="238">
        <v>2038</v>
      </c>
      <c r="H5" s="238">
        <v>714</v>
      </c>
      <c r="I5" s="238">
        <v>13</v>
      </c>
      <c r="J5" s="238">
        <v>338</v>
      </c>
      <c r="K5" s="238">
        <v>583</v>
      </c>
      <c r="L5" s="238">
        <v>113</v>
      </c>
      <c r="M5" s="237">
        <v>3616</v>
      </c>
      <c r="N5" s="84">
        <f>M5-'1.RSP Districts '!E231</f>
        <v>-1</v>
      </c>
      <c r="O5" s="68"/>
    </row>
    <row r="6" spans="1:20" s="63" customFormat="1" x14ac:dyDescent="0.3">
      <c r="A6" s="312" t="s">
        <v>286</v>
      </c>
      <c r="B6" s="311"/>
      <c r="C6" s="237">
        <v>102320</v>
      </c>
      <c r="D6" s="237">
        <v>110695</v>
      </c>
      <c r="E6" s="237">
        <v>192619</v>
      </c>
      <c r="F6" s="237">
        <v>34714</v>
      </c>
      <c r="G6" s="237">
        <v>2394947</v>
      </c>
      <c r="H6" s="237">
        <v>1229002</v>
      </c>
      <c r="I6" s="237">
        <v>16500</v>
      </c>
      <c r="J6" s="237">
        <v>591729</v>
      </c>
      <c r="K6" s="237">
        <v>742056</v>
      </c>
      <c r="L6" s="237">
        <v>269984</v>
      </c>
      <c r="M6" s="237">
        <v>5684566</v>
      </c>
      <c r="N6" s="85">
        <f>M6/1000000</f>
        <v>5.6845660000000002</v>
      </c>
      <c r="O6" s="67">
        <f>N6*6.5</f>
        <v>36.949679000000003</v>
      </c>
      <c r="P6" s="63">
        <f>200+90+160+54</f>
        <v>504</v>
      </c>
    </row>
    <row r="7" spans="1:20" s="63" customFormat="1" x14ac:dyDescent="0.3">
      <c r="A7" s="312" t="s">
        <v>12</v>
      </c>
      <c r="B7" s="311"/>
      <c r="C7" s="239">
        <v>33</v>
      </c>
      <c r="D7" s="239">
        <v>59</v>
      </c>
      <c r="E7" s="239">
        <v>46</v>
      </c>
      <c r="F7" s="239">
        <v>8</v>
      </c>
      <c r="G7" s="239">
        <v>528</v>
      </c>
      <c r="H7" s="237">
        <v>34</v>
      </c>
      <c r="I7" s="240">
        <v>1</v>
      </c>
      <c r="J7" s="239">
        <v>125</v>
      </c>
      <c r="K7" s="239">
        <v>101</v>
      </c>
      <c r="L7" s="239">
        <v>39</v>
      </c>
      <c r="M7" s="237">
        <v>974</v>
      </c>
      <c r="N7" s="84"/>
      <c r="O7" s="68"/>
      <c r="P7" s="63">
        <f>266298-265794</f>
        <v>504</v>
      </c>
    </row>
    <row r="8" spans="1:20" s="63" customFormat="1" x14ac:dyDescent="0.3">
      <c r="A8" s="308" t="s">
        <v>287</v>
      </c>
      <c r="B8" s="241" t="s">
        <v>13</v>
      </c>
      <c r="C8" s="237">
        <v>1577</v>
      </c>
      <c r="D8" s="237">
        <v>2171</v>
      </c>
      <c r="E8" s="242">
        <v>3535</v>
      </c>
      <c r="F8" s="242">
        <v>1709</v>
      </c>
      <c r="G8" s="242">
        <v>74111</v>
      </c>
      <c r="H8" s="243">
        <v>30428</v>
      </c>
      <c r="I8" s="244">
        <v>410</v>
      </c>
      <c r="J8" s="242">
        <v>32866</v>
      </c>
      <c r="K8" s="242">
        <v>9848</v>
      </c>
      <c r="L8" s="242">
        <v>8639</v>
      </c>
      <c r="M8" s="237">
        <v>165294</v>
      </c>
      <c r="N8" s="85">
        <f>M8/M11%</f>
        <v>48.450012310794811</v>
      </c>
      <c r="O8" s="68"/>
      <c r="P8" s="63" t="s">
        <v>242</v>
      </c>
    </row>
    <row r="9" spans="1:20" s="63" customFormat="1" x14ac:dyDescent="0.3">
      <c r="A9" s="308"/>
      <c r="B9" s="245" t="s">
        <v>14</v>
      </c>
      <c r="C9" s="237">
        <v>2138</v>
      </c>
      <c r="D9" s="237">
        <v>2893</v>
      </c>
      <c r="E9" s="242">
        <v>8141</v>
      </c>
      <c r="F9" s="242">
        <v>1420</v>
      </c>
      <c r="G9" s="242">
        <v>74080</v>
      </c>
      <c r="H9" s="243">
        <v>42843</v>
      </c>
      <c r="I9" s="244">
        <v>450</v>
      </c>
      <c r="J9" s="242">
        <v>4159</v>
      </c>
      <c r="K9" s="242">
        <v>20618</v>
      </c>
      <c r="L9" s="242">
        <v>5833</v>
      </c>
      <c r="M9" s="237">
        <v>162575</v>
      </c>
      <c r="N9" s="84"/>
      <c r="O9" s="68"/>
      <c r="P9" s="63">
        <v>19</v>
      </c>
      <c r="Q9" s="63">
        <f>P9*18</f>
        <v>342</v>
      </c>
    </row>
    <row r="10" spans="1:20" s="63" customFormat="1" x14ac:dyDescent="0.3">
      <c r="A10" s="308"/>
      <c r="B10" s="245" t="s">
        <v>15</v>
      </c>
      <c r="C10" s="237">
        <v>1035</v>
      </c>
      <c r="D10" s="237">
        <v>0</v>
      </c>
      <c r="E10" s="242">
        <v>54</v>
      </c>
      <c r="F10" s="242">
        <v>0</v>
      </c>
      <c r="G10" s="242">
        <v>10093</v>
      </c>
      <c r="H10" s="243">
        <v>0</v>
      </c>
      <c r="I10" s="244"/>
      <c r="J10" s="242">
        <v>40</v>
      </c>
      <c r="K10" s="242">
        <v>102</v>
      </c>
      <c r="L10" s="242">
        <v>1971</v>
      </c>
      <c r="M10" s="237">
        <v>13295</v>
      </c>
      <c r="N10" s="84" t="e">
        <f>(M11-N11)/N11%</f>
        <v>#DIV/0!</v>
      </c>
      <c r="O10" s="68"/>
      <c r="P10" s="63">
        <v>6</v>
      </c>
      <c r="Q10" s="63">
        <v>120</v>
      </c>
    </row>
    <row r="11" spans="1:20" s="63" customFormat="1" x14ac:dyDescent="0.3">
      <c r="A11" s="308"/>
      <c r="B11" s="246" t="s">
        <v>16</v>
      </c>
      <c r="C11" s="247">
        <v>4750</v>
      </c>
      <c r="D11" s="247">
        <v>5064</v>
      </c>
      <c r="E11" s="248">
        <v>11730</v>
      </c>
      <c r="F11" s="247">
        <v>3129</v>
      </c>
      <c r="G11" s="247">
        <v>158284</v>
      </c>
      <c r="H11" s="247">
        <v>73271</v>
      </c>
      <c r="I11" s="247">
        <v>860</v>
      </c>
      <c r="J11" s="247">
        <v>37065</v>
      </c>
      <c r="K11" s="249">
        <v>30568</v>
      </c>
      <c r="L11" s="249">
        <v>16443</v>
      </c>
      <c r="M11" s="247">
        <v>341164</v>
      </c>
      <c r="N11" s="84"/>
      <c r="O11" s="68">
        <f>L11-16178</f>
        <v>265</v>
      </c>
      <c r="P11" s="63">
        <v>2</v>
      </c>
      <c r="Q11" s="63">
        <v>40</v>
      </c>
    </row>
    <row r="12" spans="1:20" s="63" customFormat="1" x14ac:dyDescent="0.3">
      <c r="A12" s="313" t="s">
        <v>302</v>
      </c>
      <c r="B12" s="241" t="s">
        <v>17</v>
      </c>
      <c r="C12" s="237">
        <v>44063</v>
      </c>
      <c r="D12" s="237">
        <v>84455</v>
      </c>
      <c r="E12" s="242">
        <v>58796</v>
      </c>
      <c r="F12" s="242">
        <v>28469</v>
      </c>
      <c r="G12" s="242">
        <v>1311756</v>
      </c>
      <c r="H12" s="243">
        <v>501743</v>
      </c>
      <c r="I12" s="244">
        <v>10845</v>
      </c>
      <c r="J12" s="242">
        <v>553067</v>
      </c>
      <c r="K12" s="242">
        <v>236403</v>
      </c>
      <c r="L12" s="242">
        <v>178474</v>
      </c>
      <c r="M12" s="237">
        <v>3008071</v>
      </c>
      <c r="N12" s="116">
        <f>M12/M14%</f>
        <v>51.282649722879057</v>
      </c>
      <c r="O12" s="68"/>
      <c r="Q12" s="63">
        <f>SUM(Q9:Q11)</f>
        <v>502</v>
      </c>
    </row>
    <row r="13" spans="1:20" s="63" customFormat="1" x14ac:dyDescent="0.3">
      <c r="A13" s="313"/>
      <c r="B13" s="245" t="s">
        <v>18</v>
      </c>
      <c r="C13" s="237">
        <v>58257</v>
      </c>
      <c r="D13" s="237">
        <v>121509</v>
      </c>
      <c r="E13" s="242">
        <v>133778</v>
      </c>
      <c r="F13" s="242">
        <v>26262</v>
      </c>
      <c r="G13" s="242">
        <v>1082991</v>
      </c>
      <c r="H13" s="243">
        <v>737477</v>
      </c>
      <c r="I13" s="244">
        <v>11348</v>
      </c>
      <c r="J13" s="242">
        <v>38662</v>
      </c>
      <c r="K13" s="242">
        <v>505653</v>
      </c>
      <c r="L13" s="242">
        <v>141662</v>
      </c>
      <c r="M13" s="237">
        <v>2857599</v>
      </c>
      <c r="N13" s="84"/>
      <c r="O13" s="68"/>
    </row>
    <row r="14" spans="1:20" s="63" customFormat="1" x14ac:dyDescent="0.3">
      <c r="A14" s="313"/>
      <c r="B14" s="250" t="s">
        <v>16</v>
      </c>
      <c r="C14" s="247">
        <v>102320</v>
      </c>
      <c r="D14" s="247">
        <v>205964</v>
      </c>
      <c r="E14" s="247">
        <v>192574</v>
      </c>
      <c r="F14" s="247">
        <v>54731</v>
      </c>
      <c r="G14" s="247">
        <v>2394747</v>
      </c>
      <c r="H14" s="247">
        <v>1239220</v>
      </c>
      <c r="I14" s="247">
        <v>22193</v>
      </c>
      <c r="J14" s="247">
        <v>591729</v>
      </c>
      <c r="K14" s="249">
        <v>742056</v>
      </c>
      <c r="L14" s="247">
        <v>320136</v>
      </c>
      <c r="M14" s="247">
        <v>5865670</v>
      </c>
      <c r="N14" s="85">
        <f>M14/1000000</f>
        <v>5.8656699999999997</v>
      </c>
      <c r="O14" s="68">
        <f>L14-314221</f>
        <v>5915</v>
      </c>
      <c r="T14" s="63">
        <f>E12/E8</f>
        <v>16.632531824611032</v>
      </c>
    </row>
    <row r="15" spans="1:20" s="67" customFormat="1" x14ac:dyDescent="0.3">
      <c r="A15" s="314" t="s">
        <v>223</v>
      </c>
      <c r="B15" s="251" t="s">
        <v>17</v>
      </c>
      <c r="C15" s="237">
        <v>24.064</v>
      </c>
      <c r="D15" s="237">
        <v>129.43899999999999</v>
      </c>
      <c r="E15" s="242">
        <v>5.45</v>
      </c>
      <c r="F15" s="242">
        <v>4.3</v>
      </c>
      <c r="G15" s="242">
        <v>234.75</v>
      </c>
      <c r="H15" s="243">
        <v>71.710999999999999</v>
      </c>
      <c r="I15" s="244">
        <v>0</v>
      </c>
      <c r="J15" s="242">
        <v>110</v>
      </c>
      <c r="K15" s="242">
        <v>38.497070069149999</v>
      </c>
      <c r="L15" s="242">
        <v>82.540209999999988</v>
      </c>
      <c r="M15" s="237">
        <v>700.75128006914997</v>
      </c>
      <c r="N15" s="84"/>
      <c r="O15" s="68"/>
      <c r="P15" s="67">
        <v>742335</v>
      </c>
      <c r="T15" s="67">
        <f>E13/E9</f>
        <v>16.432624984645621</v>
      </c>
    </row>
    <row r="16" spans="1:20" s="67" customFormat="1" x14ac:dyDescent="0.3">
      <c r="A16" s="314"/>
      <c r="B16" s="252" t="s">
        <v>18</v>
      </c>
      <c r="C16" s="237">
        <v>11.851000000000001</v>
      </c>
      <c r="D16" s="237">
        <v>371.08199999999999</v>
      </c>
      <c r="E16" s="242">
        <v>8.7799999999999994</v>
      </c>
      <c r="F16" s="242">
        <v>5.0999999999999996</v>
      </c>
      <c r="G16" s="242">
        <v>1136.32</v>
      </c>
      <c r="H16" s="243">
        <v>72.14</v>
      </c>
      <c r="I16" s="244">
        <v>1</v>
      </c>
      <c r="J16" s="242">
        <v>7</v>
      </c>
      <c r="K16" s="242">
        <v>100.78366029753501</v>
      </c>
      <c r="L16" s="242">
        <v>120.445775</v>
      </c>
      <c r="M16" s="237">
        <v>1834.5024352975349</v>
      </c>
      <c r="N16" s="84"/>
      <c r="O16" s="68"/>
      <c r="P16" s="67">
        <f>P15/1000000</f>
        <v>0.74233499999999997</v>
      </c>
    </row>
    <row r="17" spans="1:16" s="67" customFormat="1" x14ac:dyDescent="0.3">
      <c r="A17" s="314"/>
      <c r="B17" s="250" t="s">
        <v>16</v>
      </c>
      <c r="C17" s="247">
        <v>35.914999999999999</v>
      </c>
      <c r="D17" s="247">
        <v>500.52099999999996</v>
      </c>
      <c r="E17" s="248">
        <v>14.23</v>
      </c>
      <c r="F17" s="247">
        <v>9.3999999999999986</v>
      </c>
      <c r="G17" s="247">
        <v>1371.07</v>
      </c>
      <c r="H17" s="247">
        <v>143.851</v>
      </c>
      <c r="I17" s="247">
        <v>1</v>
      </c>
      <c r="J17" s="247">
        <v>117</v>
      </c>
      <c r="K17" s="253">
        <v>139.28073036668502</v>
      </c>
      <c r="L17" s="253">
        <v>202.98598499999997</v>
      </c>
      <c r="M17" s="247">
        <v>2535.2537153666849</v>
      </c>
      <c r="N17" s="84"/>
      <c r="O17" s="68"/>
    </row>
    <row r="18" spans="1:16" s="63" customFormat="1" x14ac:dyDescent="0.3">
      <c r="A18" s="308" t="s">
        <v>19</v>
      </c>
      <c r="B18" s="241" t="s">
        <v>17</v>
      </c>
      <c r="C18" s="237">
        <v>10954</v>
      </c>
      <c r="D18" s="237">
        <v>58754</v>
      </c>
      <c r="E18" s="242">
        <v>50627</v>
      </c>
      <c r="F18" s="242">
        <v>12468</v>
      </c>
      <c r="G18" s="242">
        <v>1320923</v>
      </c>
      <c r="H18" s="243">
        <v>146334</v>
      </c>
      <c r="I18" s="244">
        <v>4830</v>
      </c>
      <c r="J18" s="242">
        <v>227505</v>
      </c>
      <c r="K18" s="242">
        <v>61576</v>
      </c>
      <c r="L18" s="242">
        <v>98524</v>
      </c>
      <c r="M18" s="237">
        <v>1992495</v>
      </c>
      <c r="N18" s="67">
        <f>M18/1000000</f>
        <v>1.9924949999999999</v>
      </c>
      <c r="O18" s="67">
        <f>M18/M20%</f>
        <v>52.465862214425684</v>
      </c>
    </row>
    <row r="19" spans="1:16" s="63" customFormat="1" x14ac:dyDescent="0.3">
      <c r="A19" s="308"/>
      <c r="B19" s="245" t="s">
        <v>18</v>
      </c>
      <c r="C19" s="237">
        <v>6385</v>
      </c>
      <c r="D19" s="237">
        <v>27804</v>
      </c>
      <c r="E19" s="242">
        <v>116446</v>
      </c>
      <c r="F19" s="242">
        <v>4435</v>
      </c>
      <c r="G19" s="242">
        <v>1114142</v>
      </c>
      <c r="H19" s="239">
        <v>329777</v>
      </c>
      <c r="I19" s="244">
        <v>4825</v>
      </c>
      <c r="J19" s="242">
        <v>13129</v>
      </c>
      <c r="K19" s="242">
        <v>95408</v>
      </c>
      <c r="L19" s="242">
        <v>92852</v>
      </c>
      <c r="M19" s="237">
        <v>1805203</v>
      </c>
      <c r="N19" s="84"/>
      <c r="O19" s="68"/>
    </row>
    <row r="20" spans="1:16" s="63" customFormat="1" x14ac:dyDescent="0.3">
      <c r="A20" s="308"/>
      <c r="B20" s="246" t="s">
        <v>16</v>
      </c>
      <c r="C20" s="247">
        <v>17339</v>
      </c>
      <c r="D20" s="247">
        <v>86558</v>
      </c>
      <c r="E20" s="248">
        <v>167073</v>
      </c>
      <c r="F20" s="247">
        <v>16903</v>
      </c>
      <c r="G20" s="247">
        <v>2435065</v>
      </c>
      <c r="H20" s="247">
        <v>476111</v>
      </c>
      <c r="I20" s="247">
        <v>9655</v>
      </c>
      <c r="J20" s="247">
        <v>240634</v>
      </c>
      <c r="K20" s="247">
        <v>156984</v>
      </c>
      <c r="L20" s="247">
        <v>191376</v>
      </c>
      <c r="M20" s="247">
        <v>3797698</v>
      </c>
      <c r="N20" s="67">
        <f>M20/1000000</f>
        <v>3.797698</v>
      </c>
      <c r="O20" s="68"/>
    </row>
    <row r="21" spans="1:16" s="63" customFormat="1" x14ac:dyDescent="0.3">
      <c r="A21" s="315" t="s">
        <v>205</v>
      </c>
      <c r="B21" s="245" t="s">
        <v>295</v>
      </c>
      <c r="C21" s="237">
        <v>6</v>
      </c>
      <c r="D21" s="237">
        <v>12</v>
      </c>
      <c r="E21" s="242">
        <v>2</v>
      </c>
      <c r="F21" s="239">
        <v>1</v>
      </c>
      <c r="G21" s="242">
        <v>211</v>
      </c>
      <c r="H21" s="243">
        <v>2</v>
      </c>
      <c r="I21" s="244">
        <v>0</v>
      </c>
      <c r="J21" s="242">
        <v>31</v>
      </c>
      <c r="K21" s="239">
        <v>0</v>
      </c>
      <c r="L21" s="242">
        <v>8</v>
      </c>
      <c r="M21" s="237">
        <v>273</v>
      </c>
      <c r="N21" s="84"/>
      <c r="O21" s="68"/>
    </row>
    <row r="22" spans="1:16" s="63" customFormat="1" x14ac:dyDescent="0.3">
      <c r="A22" s="316"/>
      <c r="B22" s="245" t="s">
        <v>296</v>
      </c>
      <c r="C22" s="237">
        <v>0</v>
      </c>
      <c r="D22" s="237">
        <v>0</v>
      </c>
      <c r="E22" s="242">
        <v>0</v>
      </c>
      <c r="F22" s="242">
        <v>10</v>
      </c>
      <c r="G22" s="242">
        <v>74</v>
      </c>
      <c r="H22" s="243">
        <v>33</v>
      </c>
      <c r="I22" s="244">
        <v>0</v>
      </c>
      <c r="J22" s="242">
        <v>3608</v>
      </c>
      <c r="K22" s="242">
        <v>326</v>
      </c>
      <c r="L22" s="242">
        <v>1307</v>
      </c>
      <c r="M22" s="237">
        <v>5358</v>
      </c>
      <c r="N22" s="84"/>
      <c r="O22" s="68"/>
    </row>
    <row r="23" spans="1:16" s="63" customFormat="1" x14ac:dyDescent="0.3">
      <c r="A23" s="316"/>
      <c r="B23" s="245" t="s">
        <v>297</v>
      </c>
      <c r="C23" s="237">
        <v>1094</v>
      </c>
      <c r="D23" s="237">
        <v>2055</v>
      </c>
      <c r="E23" s="242">
        <v>20</v>
      </c>
      <c r="F23" s="242">
        <v>42</v>
      </c>
      <c r="G23" s="242">
        <v>30193</v>
      </c>
      <c r="H23" s="243">
        <v>2929</v>
      </c>
      <c r="I23" s="244">
        <v>0</v>
      </c>
      <c r="J23" s="242">
        <v>96764</v>
      </c>
      <c r="K23" s="242">
        <v>34859</v>
      </c>
      <c r="L23" s="242">
        <v>17101</v>
      </c>
      <c r="M23" s="237">
        <v>185057</v>
      </c>
      <c r="N23" s="84"/>
      <c r="O23" s="68"/>
    </row>
    <row r="24" spans="1:16" s="63" customFormat="1" ht="27.6" x14ac:dyDescent="0.3">
      <c r="A24" s="317"/>
      <c r="B24" s="245" t="s">
        <v>206</v>
      </c>
      <c r="C24" s="237">
        <v>16</v>
      </c>
      <c r="D24" s="237">
        <v>16.106083000000002</v>
      </c>
      <c r="E24" s="242">
        <v>1</v>
      </c>
      <c r="F24" s="242">
        <v>0.6</v>
      </c>
      <c r="G24" s="242">
        <v>381.4</v>
      </c>
      <c r="H24" s="243">
        <v>34.74</v>
      </c>
      <c r="I24" s="244">
        <v>0</v>
      </c>
      <c r="J24" s="242">
        <v>977</v>
      </c>
      <c r="K24" s="242">
        <v>379.10849999999999</v>
      </c>
      <c r="L24" s="242">
        <v>228.29499999999999</v>
      </c>
      <c r="M24" s="254">
        <v>2034.249583</v>
      </c>
      <c r="N24" s="85">
        <f>M24/90</f>
        <v>22.602773144444445</v>
      </c>
      <c r="O24" s="117">
        <f>M24/85</f>
        <v>23.932348035294119</v>
      </c>
    </row>
    <row r="25" spans="1:16" s="67" customFormat="1" x14ac:dyDescent="0.3">
      <c r="A25" s="318" t="s">
        <v>20</v>
      </c>
      <c r="B25" s="251" t="s">
        <v>17</v>
      </c>
      <c r="C25" s="237">
        <v>79.263000000000005</v>
      </c>
      <c r="D25" s="237">
        <v>195</v>
      </c>
      <c r="E25" s="242">
        <v>9</v>
      </c>
      <c r="F25" s="242">
        <v>404</v>
      </c>
      <c r="G25" s="242">
        <v>35209.361709999997</v>
      </c>
      <c r="H25" s="243">
        <v>4636.5300000000007</v>
      </c>
      <c r="I25" s="244">
        <v>0</v>
      </c>
      <c r="J25" s="242">
        <v>4287</v>
      </c>
      <c r="K25" s="242">
        <v>366.774</v>
      </c>
      <c r="L25" s="242">
        <v>3432.0570000000002</v>
      </c>
      <c r="M25" s="237">
        <v>48618.985709999994</v>
      </c>
      <c r="N25" s="116">
        <f>M25/1000</f>
        <v>48.618985709999997</v>
      </c>
      <c r="O25" s="117">
        <f>M25/85</f>
        <v>571.98806717647051</v>
      </c>
    </row>
    <row r="26" spans="1:16" s="67" customFormat="1" x14ac:dyDescent="0.3">
      <c r="A26" s="318"/>
      <c r="B26" s="252" t="s">
        <v>18</v>
      </c>
      <c r="C26" s="237">
        <v>58.572000000000003</v>
      </c>
      <c r="D26" s="237">
        <v>833</v>
      </c>
      <c r="E26" s="242">
        <v>16</v>
      </c>
      <c r="F26" s="242">
        <v>87</v>
      </c>
      <c r="G26" s="242">
        <v>45161.134202000001</v>
      </c>
      <c r="H26" s="243">
        <v>6449.51</v>
      </c>
      <c r="I26" s="244">
        <v>0</v>
      </c>
      <c r="J26" s="242">
        <v>646</v>
      </c>
      <c r="K26" s="242">
        <v>279.91399999999999</v>
      </c>
      <c r="L26" s="242">
        <v>3276.393</v>
      </c>
      <c r="M26" s="237">
        <v>56807.523201999997</v>
      </c>
      <c r="N26" s="84"/>
      <c r="O26" s="117"/>
    </row>
    <row r="27" spans="1:16" s="67" customFormat="1" x14ac:dyDescent="0.3">
      <c r="A27" s="318"/>
      <c r="B27" s="255" t="s">
        <v>16</v>
      </c>
      <c r="C27" s="247">
        <v>137.83500000000001</v>
      </c>
      <c r="D27" s="247">
        <v>1028</v>
      </c>
      <c r="E27" s="256">
        <v>25</v>
      </c>
      <c r="F27" s="247">
        <v>491</v>
      </c>
      <c r="G27" s="247">
        <v>80370.495911999998</v>
      </c>
      <c r="H27" s="247">
        <v>11086.04</v>
      </c>
      <c r="I27" s="247">
        <v>0</v>
      </c>
      <c r="J27" s="247">
        <v>4933</v>
      </c>
      <c r="K27" s="247">
        <v>646.68799999999999</v>
      </c>
      <c r="L27" s="247">
        <v>6708.4500000000007</v>
      </c>
      <c r="M27" s="247">
        <v>105426.50891199999</v>
      </c>
      <c r="N27" s="116">
        <f>M27/1000</f>
        <v>105.42650891199999</v>
      </c>
      <c r="O27" s="117">
        <f>M27/85</f>
        <v>1240.3118695529411</v>
      </c>
    </row>
    <row r="28" spans="1:16" s="63" customFormat="1" x14ac:dyDescent="0.3">
      <c r="A28" s="308" t="s">
        <v>21</v>
      </c>
      <c r="B28" s="241" t="s">
        <v>17</v>
      </c>
      <c r="C28" s="237">
        <v>4764</v>
      </c>
      <c r="D28" s="237">
        <v>74813</v>
      </c>
      <c r="E28" s="242">
        <v>1156</v>
      </c>
      <c r="F28" s="242">
        <v>26389</v>
      </c>
      <c r="G28" s="242">
        <v>2254245</v>
      </c>
      <c r="H28" s="243">
        <v>324012</v>
      </c>
      <c r="I28" s="244">
        <v>0</v>
      </c>
      <c r="J28" s="242">
        <v>262804</v>
      </c>
      <c r="K28" s="242">
        <v>31754</v>
      </c>
      <c r="L28" s="242">
        <v>255092</v>
      </c>
      <c r="M28" s="237">
        <v>3235029</v>
      </c>
      <c r="N28" s="116">
        <f>M28/1000000</f>
        <v>3.2350289999999999</v>
      </c>
      <c r="O28" s="68"/>
      <c r="P28" s="63">
        <f>M28/M30%</f>
        <v>45.511898757684023</v>
      </c>
    </row>
    <row r="29" spans="1:16" s="63" customFormat="1" x14ac:dyDescent="0.3">
      <c r="A29" s="308"/>
      <c r="B29" s="245" t="s">
        <v>18</v>
      </c>
      <c r="C29" s="237">
        <v>3217</v>
      </c>
      <c r="D29" s="237">
        <v>546311</v>
      </c>
      <c r="E29" s="242">
        <v>1600</v>
      </c>
      <c r="F29" s="242">
        <v>5990</v>
      </c>
      <c r="G29" s="242">
        <v>2605160</v>
      </c>
      <c r="H29" s="243">
        <v>448702</v>
      </c>
      <c r="I29" s="244">
        <v>0</v>
      </c>
      <c r="J29" s="242">
        <v>44260</v>
      </c>
      <c r="K29" s="242">
        <v>25551</v>
      </c>
      <c r="L29" s="242">
        <v>192275</v>
      </c>
      <c r="M29" s="237">
        <v>3873066</v>
      </c>
      <c r="N29" s="116"/>
      <c r="O29" s="68"/>
    </row>
    <row r="30" spans="1:16" s="63" customFormat="1" x14ac:dyDescent="0.3">
      <c r="A30" s="308"/>
      <c r="B30" s="246" t="s">
        <v>16</v>
      </c>
      <c r="C30" s="247">
        <v>7981</v>
      </c>
      <c r="D30" s="247">
        <v>621124</v>
      </c>
      <c r="E30" s="256">
        <v>2756</v>
      </c>
      <c r="F30" s="247">
        <v>32379</v>
      </c>
      <c r="G30" s="247">
        <v>4859405</v>
      </c>
      <c r="H30" s="247">
        <v>772714</v>
      </c>
      <c r="I30" s="247">
        <v>0</v>
      </c>
      <c r="J30" s="247">
        <v>307064</v>
      </c>
      <c r="K30" s="247">
        <v>57305</v>
      </c>
      <c r="L30" s="247">
        <v>447367</v>
      </c>
      <c r="M30" s="247">
        <v>7108095</v>
      </c>
      <c r="N30" s="116">
        <f>M30/1000000</f>
        <v>7.1080949999999996</v>
      </c>
      <c r="O30" s="68"/>
    </row>
    <row r="31" spans="1:16" s="68" customFormat="1" x14ac:dyDescent="0.3">
      <c r="A31" s="318" t="s">
        <v>207</v>
      </c>
      <c r="B31" s="241" t="s">
        <v>17</v>
      </c>
      <c r="C31" s="237">
        <v>0</v>
      </c>
      <c r="D31" s="237">
        <v>74813</v>
      </c>
      <c r="E31" s="242">
        <v>0</v>
      </c>
      <c r="F31" s="242">
        <v>23053</v>
      </c>
      <c r="G31" s="242">
        <v>830712</v>
      </c>
      <c r="H31" s="243">
        <v>0</v>
      </c>
      <c r="I31" s="244">
        <v>0</v>
      </c>
      <c r="J31" s="242">
        <v>225094</v>
      </c>
      <c r="K31" s="242">
        <v>5834</v>
      </c>
      <c r="L31" s="242">
        <v>86533</v>
      </c>
      <c r="M31" s="237">
        <v>1246039</v>
      </c>
      <c r="N31" s="68">
        <f>M31/M33%</f>
        <v>31.603072757329986</v>
      </c>
    </row>
    <row r="32" spans="1:16" s="68" customFormat="1" x14ac:dyDescent="0.3">
      <c r="A32" s="318"/>
      <c r="B32" s="245" t="s">
        <v>18</v>
      </c>
      <c r="C32" s="237">
        <v>0</v>
      </c>
      <c r="D32" s="237">
        <v>546311</v>
      </c>
      <c r="E32" s="242">
        <v>0</v>
      </c>
      <c r="F32" s="242">
        <v>7212</v>
      </c>
      <c r="G32" s="242">
        <v>2008234</v>
      </c>
      <c r="H32" s="243">
        <v>0</v>
      </c>
      <c r="I32" s="244">
        <v>0</v>
      </c>
      <c r="J32" s="242">
        <v>40601</v>
      </c>
      <c r="K32" s="242">
        <v>21566</v>
      </c>
      <c r="L32" s="242">
        <v>72815</v>
      </c>
      <c r="M32" s="237">
        <v>2696739</v>
      </c>
    </row>
    <row r="33" spans="1:15" s="68" customFormat="1" x14ac:dyDescent="0.3">
      <c r="A33" s="318"/>
      <c r="B33" s="246" t="s">
        <v>16</v>
      </c>
      <c r="C33" s="247">
        <v>0</v>
      </c>
      <c r="D33" s="247">
        <v>621124</v>
      </c>
      <c r="E33" s="256">
        <v>0</v>
      </c>
      <c r="F33" s="247">
        <v>30265</v>
      </c>
      <c r="G33" s="247">
        <v>2838946</v>
      </c>
      <c r="H33" s="247">
        <v>0</v>
      </c>
      <c r="I33" s="247">
        <v>0</v>
      </c>
      <c r="J33" s="247">
        <v>265695</v>
      </c>
      <c r="K33" s="247">
        <v>27400</v>
      </c>
      <c r="L33" s="247">
        <v>159348</v>
      </c>
      <c r="M33" s="247">
        <v>3942778</v>
      </c>
      <c r="N33" s="67">
        <f>M33/1000000</f>
        <v>3.9427780000000001</v>
      </c>
    </row>
    <row r="34" spans="1:15" s="63" customFormat="1" ht="13.2" customHeight="1" x14ac:dyDescent="0.3">
      <c r="A34" s="320" t="s">
        <v>239</v>
      </c>
      <c r="B34" s="245" t="s">
        <v>17</v>
      </c>
      <c r="C34" s="237">
        <v>0</v>
      </c>
      <c r="D34" s="237">
        <v>74813</v>
      </c>
      <c r="E34" s="242">
        <v>0</v>
      </c>
      <c r="F34" s="242">
        <v>23053</v>
      </c>
      <c r="G34" s="242">
        <v>1718947</v>
      </c>
      <c r="H34" s="243">
        <v>0</v>
      </c>
      <c r="I34" s="244">
        <v>0</v>
      </c>
      <c r="J34" s="242">
        <v>360015</v>
      </c>
      <c r="K34" s="242">
        <v>35004</v>
      </c>
      <c r="L34" s="242">
        <v>88190</v>
      </c>
      <c r="M34" s="237">
        <v>2300022</v>
      </c>
      <c r="N34" s="67">
        <f>M34/1000000</f>
        <v>2.3000219999999998</v>
      </c>
      <c r="O34" s="68"/>
    </row>
    <row r="35" spans="1:15" s="63" customFormat="1" x14ac:dyDescent="0.3">
      <c r="A35" s="320"/>
      <c r="B35" s="245" t="s">
        <v>18</v>
      </c>
      <c r="C35" s="237">
        <v>0</v>
      </c>
      <c r="D35" s="237">
        <v>546311</v>
      </c>
      <c r="E35" s="242">
        <v>0</v>
      </c>
      <c r="F35" s="242">
        <v>7212</v>
      </c>
      <c r="G35" s="242">
        <v>2798762</v>
      </c>
      <c r="H35" s="243">
        <v>0</v>
      </c>
      <c r="I35" s="244">
        <v>0</v>
      </c>
      <c r="J35" s="242">
        <v>257340</v>
      </c>
      <c r="K35" s="242">
        <v>129396</v>
      </c>
      <c r="L35" s="242">
        <v>73703</v>
      </c>
      <c r="M35" s="237">
        <v>3812724</v>
      </c>
      <c r="N35" s="84"/>
      <c r="O35" s="68"/>
    </row>
    <row r="36" spans="1:15" s="63" customFormat="1" x14ac:dyDescent="0.3">
      <c r="A36" s="320"/>
      <c r="B36" s="246" t="s">
        <v>16</v>
      </c>
      <c r="C36" s="247">
        <v>0</v>
      </c>
      <c r="D36" s="247">
        <v>621124</v>
      </c>
      <c r="E36" s="256">
        <v>0</v>
      </c>
      <c r="F36" s="247">
        <v>30265</v>
      </c>
      <c r="G36" s="247">
        <v>4517709</v>
      </c>
      <c r="H36" s="247">
        <v>0</v>
      </c>
      <c r="I36" s="247">
        <v>0</v>
      </c>
      <c r="J36" s="247">
        <v>617355</v>
      </c>
      <c r="K36" s="247">
        <v>164400</v>
      </c>
      <c r="L36" s="247">
        <v>161893</v>
      </c>
      <c r="M36" s="247">
        <v>6112746</v>
      </c>
      <c r="N36" s="67">
        <f>M36/1000000</f>
        <v>6.1127459999999996</v>
      </c>
      <c r="O36" s="68"/>
    </row>
    <row r="37" spans="1:15" s="69" customFormat="1" x14ac:dyDescent="0.3">
      <c r="A37" s="321" t="s">
        <v>288</v>
      </c>
      <c r="B37" s="322"/>
      <c r="C37" s="237">
        <v>1637</v>
      </c>
      <c r="D37" s="237">
        <v>3576</v>
      </c>
      <c r="E37" s="242">
        <v>1477</v>
      </c>
      <c r="F37" s="242">
        <v>639</v>
      </c>
      <c r="G37" s="242">
        <v>30049</v>
      </c>
      <c r="H37" s="243">
        <v>6433</v>
      </c>
      <c r="I37" s="244">
        <v>0</v>
      </c>
      <c r="J37" s="242">
        <v>39606</v>
      </c>
      <c r="K37" s="242">
        <v>8674</v>
      </c>
      <c r="L37" s="242">
        <v>60559</v>
      </c>
      <c r="M37" s="237">
        <v>152650</v>
      </c>
      <c r="N37" s="84"/>
      <c r="O37" s="68"/>
    </row>
    <row r="38" spans="1:15" s="69" customFormat="1" x14ac:dyDescent="0.3">
      <c r="A38" s="321" t="s">
        <v>289</v>
      </c>
      <c r="B38" s="322"/>
      <c r="C38" s="237">
        <v>1637</v>
      </c>
      <c r="D38" s="237">
        <v>3576</v>
      </c>
      <c r="E38" s="242">
        <v>1170</v>
      </c>
      <c r="F38" s="242">
        <v>607</v>
      </c>
      <c r="G38" s="242">
        <v>28581</v>
      </c>
      <c r="H38" s="243">
        <v>6433</v>
      </c>
      <c r="I38" s="244">
        <v>16</v>
      </c>
      <c r="J38" s="242">
        <v>39606</v>
      </c>
      <c r="K38" s="242">
        <v>8326</v>
      </c>
      <c r="L38" s="242">
        <v>59315</v>
      </c>
      <c r="M38" s="237">
        <v>149267</v>
      </c>
      <c r="N38" s="84"/>
      <c r="O38" s="68"/>
    </row>
    <row r="39" spans="1:15" s="70" customFormat="1" x14ac:dyDescent="0.3">
      <c r="A39" s="321" t="s">
        <v>22</v>
      </c>
      <c r="B39" s="322"/>
      <c r="C39" s="237">
        <v>100347</v>
      </c>
      <c r="D39" s="237">
        <v>284440</v>
      </c>
      <c r="E39" s="242">
        <v>109647</v>
      </c>
      <c r="F39" s="242">
        <v>22705</v>
      </c>
      <c r="G39" s="242">
        <v>1294407</v>
      </c>
      <c r="H39" s="243">
        <v>674798</v>
      </c>
      <c r="I39" s="244">
        <v>0</v>
      </c>
      <c r="J39" s="242">
        <v>230592</v>
      </c>
      <c r="K39" s="242">
        <v>1662068</v>
      </c>
      <c r="L39" s="242">
        <v>408180</v>
      </c>
      <c r="M39" s="237">
        <v>4787184</v>
      </c>
      <c r="N39" s="67">
        <f>M39/1000000</f>
        <v>4.7871839999999999</v>
      </c>
      <c r="O39" s="68">
        <f>476*15</f>
        <v>7140</v>
      </c>
    </row>
    <row r="40" spans="1:15" s="70" customFormat="1" x14ac:dyDescent="0.3">
      <c r="A40" s="323" t="s">
        <v>237</v>
      </c>
      <c r="B40" s="324"/>
      <c r="C40" s="237">
        <v>100347</v>
      </c>
      <c r="D40" s="237">
        <v>284440</v>
      </c>
      <c r="E40" s="242">
        <v>83858</v>
      </c>
      <c r="F40" s="242">
        <v>22065</v>
      </c>
      <c r="G40" s="242">
        <v>1207373</v>
      </c>
      <c r="H40" s="243">
        <v>674798</v>
      </c>
      <c r="I40" s="244">
        <v>0</v>
      </c>
      <c r="J40" s="242">
        <v>230592</v>
      </c>
      <c r="K40" s="242">
        <v>1607055</v>
      </c>
      <c r="L40" s="242">
        <v>386075</v>
      </c>
      <c r="M40" s="237">
        <v>4596603</v>
      </c>
      <c r="N40" s="67"/>
      <c r="O40" s="68"/>
    </row>
    <row r="41" spans="1:15" s="71" customFormat="1" x14ac:dyDescent="0.3">
      <c r="A41" s="325" t="s">
        <v>290</v>
      </c>
      <c r="B41" s="326"/>
      <c r="C41" s="237">
        <v>635.803</v>
      </c>
      <c r="D41" s="237">
        <v>1825.46</v>
      </c>
      <c r="E41" s="242">
        <v>753.11</v>
      </c>
      <c r="F41" s="242">
        <v>245</v>
      </c>
      <c r="G41" s="242">
        <v>7427.7966050000005</v>
      </c>
      <c r="H41" s="243">
        <v>1675.181</v>
      </c>
      <c r="I41" s="244">
        <v>0</v>
      </c>
      <c r="J41" s="242">
        <v>2596</v>
      </c>
      <c r="K41" s="242">
        <v>4981</v>
      </c>
      <c r="L41" s="242">
        <v>975.58499999999992</v>
      </c>
      <c r="M41" s="237">
        <v>21114.935604999999</v>
      </c>
      <c r="N41" s="84">
        <f>M41/90</f>
        <v>234.6103956111111</v>
      </c>
      <c r="O41" s="117">
        <f>M41/85</f>
        <v>248.41100711764705</v>
      </c>
    </row>
    <row r="42" spans="1:15" s="71" customFormat="1" x14ac:dyDescent="0.3">
      <c r="A42" s="327" t="s">
        <v>291</v>
      </c>
      <c r="B42" s="328"/>
      <c r="C42" s="237">
        <v>635.803</v>
      </c>
      <c r="D42" s="237">
        <v>1825.46</v>
      </c>
      <c r="E42" s="242">
        <v>595.16999999999996</v>
      </c>
      <c r="F42" s="242">
        <v>220</v>
      </c>
      <c r="G42" s="242">
        <v>6517.564069</v>
      </c>
      <c r="H42" s="243">
        <v>1675.181</v>
      </c>
      <c r="I42" s="244">
        <v>20</v>
      </c>
      <c r="J42" s="242">
        <v>2596</v>
      </c>
      <c r="K42" s="242">
        <v>4210</v>
      </c>
      <c r="L42" s="242">
        <v>919.56399999999996</v>
      </c>
      <c r="M42" s="237">
        <v>19214.742069</v>
      </c>
      <c r="N42" s="84"/>
      <c r="O42" s="117"/>
    </row>
    <row r="43" spans="1:15" s="72" customFormat="1" x14ac:dyDescent="0.3">
      <c r="A43" s="329" t="s">
        <v>23</v>
      </c>
      <c r="B43" s="330" t="s">
        <v>24</v>
      </c>
      <c r="C43" s="237">
        <v>355</v>
      </c>
      <c r="D43" s="237">
        <v>867</v>
      </c>
      <c r="E43" s="242">
        <v>141</v>
      </c>
      <c r="F43" s="242">
        <v>3</v>
      </c>
      <c r="G43" s="242">
        <v>545</v>
      </c>
      <c r="H43" s="243">
        <v>191</v>
      </c>
      <c r="I43" s="244">
        <v>25</v>
      </c>
      <c r="J43" s="242">
        <v>2</v>
      </c>
      <c r="K43" s="242">
        <v>89</v>
      </c>
      <c r="L43" s="242">
        <v>113</v>
      </c>
      <c r="M43" s="237">
        <v>2331</v>
      </c>
      <c r="N43" s="84"/>
      <c r="O43" s="68"/>
    </row>
    <row r="44" spans="1:15" s="63" customFormat="1" x14ac:dyDescent="0.3">
      <c r="A44" s="308" t="s">
        <v>25</v>
      </c>
      <c r="B44" s="257" t="s">
        <v>24</v>
      </c>
      <c r="C44" s="237">
        <v>11370</v>
      </c>
      <c r="D44" s="237">
        <v>2900</v>
      </c>
      <c r="E44" s="242">
        <v>4453</v>
      </c>
      <c r="F44" s="242">
        <v>780</v>
      </c>
      <c r="G44" s="242">
        <v>9852</v>
      </c>
      <c r="H44" s="243">
        <v>6068</v>
      </c>
      <c r="I44" s="244">
        <v>3526</v>
      </c>
      <c r="J44" s="242">
        <v>25</v>
      </c>
      <c r="K44" s="242">
        <v>2125</v>
      </c>
      <c r="L44" s="242">
        <v>1947</v>
      </c>
      <c r="M44" s="237">
        <v>43046</v>
      </c>
      <c r="N44" s="84"/>
      <c r="O44" s="68"/>
    </row>
    <row r="45" spans="1:15" s="63" customFormat="1" x14ac:dyDescent="0.3">
      <c r="A45" s="308"/>
      <c r="B45" s="258" t="s">
        <v>26</v>
      </c>
      <c r="C45" s="237">
        <v>9922</v>
      </c>
      <c r="D45" s="237">
        <v>7375</v>
      </c>
      <c r="E45" s="242">
        <v>5543</v>
      </c>
      <c r="F45" s="242">
        <v>608</v>
      </c>
      <c r="G45" s="242">
        <v>10537</v>
      </c>
      <c r="H45" s="243">
        <v>4854</v>
      </c>
      <c r="I45" s="244">
        <v>5110</v>
      </c>
      <c r="J45" s="242">
        <v>55</v>
      </c>
      <c r="K45" s="242">
        <v>3046</v>
      </c>
      <c r="L45" s="242">
        <v>707</v>
      </c>
      <c r="M45" s="237">
        <v>47757</v>
      </c>
      <c r="N45" s="84"/>
      <c r="O45" s="68"/>
    </row>
    <row r="46" spans="1:15" s="63" customFormat="1" x14ac:dyDescent="0.3">
      <c r="A46" s="308"/>
      <c r="B46" s="259" t="s">
        <v>16</v>
      </c>
      <c r="C46" s="247">
        <v>21292</v>
      </c>
      <c r="D46" s="247">
        <v>10275</v>
      </c>
      <c r="E46" s="256">
        <v>9996</v>
      </c>
      <c r="F46" s="247">
        <v>1388</v>
      </c>
      <c r="G46" s="247">
        <v>20389</v>
      </c>
      <c r="H46" s="247">
        <v>10922</v>
      </c>
      <c r="I46" s="247">
        <v>8636</v>
      </c>
      <c r="J46" s="247">
        <v>80</v>
      </c>
      <c r="K46" s="247">
        <v>5171</v>
      </c>
      <c r="L46" s="247">
        <v>2654</v>
      </c>
      <c r="M46" s="247">
        <v>90803</v>
      </c>
      <c r="N46" s="85">
        <f>M44/M46%</f>
        <v>47.405922711804678</v>
      </c>
      <c r="O46" s="68"/>
    </row>
    <row r="47" spans="1:15" s="63" customFormat="1" x14ac:dyDescent="0.3">
      <c r="A47" s="331" t="s">
        <v>292</v>
      </c>
      <c r="B47" s="257" t="s">
        <v>17</v>
      </c>
      <c r="C47" s="237">
        <v>0</v>
      </c>
      <c r="D47" s="237">
        <v>0</v>
      </c>
      <c r="E47" s="242">
        <v>0</v>
      </c>
      <c r="F47" s="242">
        <v>0</v>
      </c>
      <c r="G47" s="242">
        <v>22888</v>
      </c>
      <c r="H47" s="243">
        <v>0</v>
      </c>
      <c r="I47" s="244"/>
      <c r="J47" s="242">
        <v>0</v>
      </c>
      <c r="K47" s="242">
        <v>3346</v>
      </c>
      <c r="L47" s="242">
        <v>0</v>
      </c>
      <c r="M47" s="237">
        <v>26234</v>
      </c>
      <c r="N47" s="84"/>
      <c r="O47" s="68"/>
    </row>
    <row r="48" spans="1:15" s="63" customFormat="1" x14ac:dyDescent="0.3">
      <c r="A48" s="331"/>
      <c r="B48" s="258" t="s">
        <v>18</v>
      </c>
      <c r="C48" s="237">
        <v>0</v>
      </c>
      <c r="D48" s="237">
        <v>0</v>
      </c>
      <c r="E48" s="242">
        <v>0</v>
      </c>
      <c r="F48" s="242">
        <v>0</v>
      </c>
      <c r="G48" s="242">
        <v>2494</v>
      </c>
      <c r="H48" s="243">
        <v>0</v>
      </c>
      <c r="I48" s="244"/>
      <c r="J48" s="242">
        <v>0</v>
      </c>
      <c r="K48" s="242">
        <v>722</v>
      </c>
      <c r="L48" s="242">
        <v>0</v>
      </c>
      <c r="M48" s="237">
        <v>3216</v>
      </c>
      <c r="N48" s="84"/>
      <c r="O48" s="68"/>
    </row>
    <row r="49" spans="1:15" s="63" customFormat="1" x14ac:dyDescent="0.3">
      <c r="A49" s="331"/>
      <c r="B49" s="259" t="s">
        <v>16</v>
      </c>
      <c r="C49" s="247">
        <v>0</v>
      </c>
      <c r="D49" s="247">
        <v>0</v>
      </c>
      <c r="E49" s="256">
        <v>0</v>
      </c>
      <c r="F49" s="247">
        <v>0</v>
      </c>
      <c r="G49" s="247">
        <v>25382</v>
      </c>
      <c r="H49" s="247">
        <v>0</v>
      </c>
      <c r="I49" s="247">
        <v>0</v>
      </c>
      <c r="J49" s="247">
        <v>0</v>
      </c>
      <c r="K49" s="247">
        <v>4068</v>
      </c>
      <c r="L49" s="247">
        <v>0</v>
      </c>
      <c r="M49" s="247">
        <v>29450</v>
      </c>
      <c r="N49" s="84"/>
      <c r="O49" s="68"/>
    </row>
    <row r="50" spans="1:15" s="63" customFormat="1" x14ac:dyDescent="0.3">
      <c r="A50" s="308" t="s">
        <v>293</v>
      </c>
      <c r="B50" s="257" t="s">
        <v>17</v>
      </c>
      <c r="C50" s="237">
        <v>31</v>
      </c>
      <c r="D50" s="237">
        <v>1243</v>
      </c>
      <c r="E50" s="242">
        <v>1688</v>
      </c>
      <c r="F50" s="242">
        <v>95</v>
      </c>
      <c r="G50" s="242">
        <v>3153</v>
      </c>
      <c r="H50" s="243">
        <v>8442</v>
      </c>
      <c r="I50" s="244">
        <v>410</v>
      </c>
      <c r="J50" s="242">
        <v>4777</v>
      </c>
      <c r="K50" s="242">
        <v>1066</v>
      </c>
      <c r="L50" s="242">
        <v>867</v>
      </c>
      <c r="M50" s="237">
        <v>21772</v>
      </c>
      <c r="N50" s="84"/>
      <c r="O50" s="68"/>
    </row>
    <row r="51" spans="1:15" s="63" customFormat="1" x14ac:dyDescent="0.3">
      <c r="A51" s="308"/>
      <c r="B51" s="258" t="s">
        <v>18</v>
      </c>
      <c r="C51" s="237">
        <v>0</v>
      </c>
      <c r="D51" s="237">
        <v>0</v>
      </c>
      <c r="E51" s="242">
        <v>0</v>
      </c>
      <c r="F51" s="242">
        <v>0</v>
      </c>
      <c r="G51" s="242">
        <v>0</v>
      </c>
      <c r="H51" s="243">
        <v>1770</v>
      </c>
      <c r="I51" s="244"/>
      <c r="J51" s="242">
        <v>0</v>
      </c>
      <c r="K51" s="242">
        <v>467</v>
      </c>
      <c r="L51" s="242">
        <v>675</v>
      </c>
      <c r="M51" s="237">
        <v>2912</v>
      </c>
      <c r="N51" s="84"/>
      <c r="O51" s="68"/>
    </row>
    <row r="52" spans="1:15" s="63" customFormat="1" ht="14.4" thickBot="1" x14ac:dyDescent="0.35">
      <c r="A52" s="319"/>
      <c r="B52" s="260" t="s">
        <v>16</v>
      </c>
      <c r="C52" s="247">
        <v>31</v>
      </c>
      <c r="D52" s="247">
        <v>1243</v>
      </c>
      <c r="E52" s="256">
        <v>1688</v>
      </c>
      <c r="F52" s="247">
        <v>95</v>
      </c>
      <c r="G52" s="247">
        <v>3153</v>
      </c>
      <c r="H52" s="247">
        <v>10212</v>
      </c>
      <c r="I52" s="247">
        <v>410</v>
      </c>
      <c r="J52" s="247">
        <v>4777</v>
      </c>
      <c r="K52" s="247">
        <v>1533</v>
      </c>
      <c r="L52" s="247">
        <v>1542</v>
      </c>
      <c r="M52" s="247">
        <v>24684</v>
      </c>
      <c r="N52" s="84"/>
      <c r="O52" s="68"/>
    </row>
    <row r="53" spans="1:15" x14ac:dyDescent="0.3">
      <c r="A53" s="261" t="s">
        <v>317</v>
      </c>
      <c r="B53" s="261"/>
      <c r="C53" s="261"/>
      <c r="D53" s="227"/>
      <c r="E53" s="236"/>
      <c r="F53" s="227"/>
      <c r="G53" s="262"/>
      <c r="H53" s="263"/>
      <c r="I53" s="244"/>
      <c r="J53" s="227"/>
      <c r="K53" s="237"/>
      <c r="L53" s="243"/>
      <c r="M53" s="227"/>
    </row>
    <row r="54" spans="1:15" x14ac:dyDescent="0.3">
      <c r="A54" s="261" t="s">
        <v>318</v>
      </c>
      <c r="B54" s="261"/>
      <c r="C54" s="261"/>
      <c r="D54" s="227"/>
      <c r="E54" s="236"/>
      <c r="F54" s="227"/>
      <c r="G54" s="261"/>
      <c r="H54" s="263"/>
      <c r="I54" s="227"/>
      <c r="J54" s="227"/>
      <c r="K54" s="227"/>
      <c r="L54" s="227"/>
      <c r="M54" s="227"/>
    </row>
    <row r="55" spans="1:15" x14ac:dyDescent="0.3">
      <c r="A55" s="264" t="s">
        <v>270</v>
      </c>
      <c r="B55" s="261"/>
      <c r="C55" s="261"/>
      <c r="D55" s="227"/>
      <c r="E55" s="236"/>
      <c r="F55" s="227"/>
      <c r="G55" s="227"/>
      <c r="H55" s="227"/>
      <c r="I55" s="227"/>
      <c r="J55" s="227"/>
      <c r="K55" s="227"/>
      <c r="L55" s="227"/>
      <c r="M55" s="227"/>
    </row>
    <row r="56" spans="1:15" x14ac:dyDescent="0.3">
      <c r="E56" s="101"/>
    </row>
    <row r="57" spans="1:15" x14ac:dyDescent="0.3">
      <c r="E57" s="157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ColWidth="9.109375" defaultRowHeight="14.4" x14ac:dyDescent="0.3"/>
  <cols>
    <col min="1" max="1" width="35.44140625" style="170" customWidth="1"/>
    <col min="2" max="2" width="25.5546875" style="170" customWidth="1"/>
    <col min="3" max="3" width="18.109375" style="170" customWidth="1"/>
    <col min="4" max="4" width="16.33203125" style="170" customWidth="1"/>
    <col min="5" max="5" width="12.109375" style="170" customWidth="1"/>
    <col min="6" max="6" width="16.109375" style="170" customWidth="1"/>
    <col min="7" max="7" width="13.44140625" style="170" customWidth="1"/>
    <col min="8" max="8" width="12.88671875" style="170" customWidth="1"/>
    <col min="9" max="9" width="13.88671875" style="170" customWidth="1"/>
    <col min="10" max="10" width="12.88671875" style="170" customWidth="1"/>
    <col min="11" max="11" width="16.6640625" style="170" customWidth="1"/>
    <col min="12" max="12" width="16.5546875" style="170" customWidth="1"/>
    <col min="13" max="13" width="13.109375" style="170" customWidth="1"/>
    <col min="14" max="14" width="16.33203125" style="170" customWidth="1"/>
    <col min="15" max="15" width="15.6640625" style="170" customWidth="1"/>
    <col min="16" max="16" width="16.6640625" style="170" customWidth="1"/>
    <col min="17" max="17" width="16.33203125" style="170" customWidth="1"/>
    <col min="18" max="18" width="17.33203125" style="170" customWidth="1"/>
    <col min="19" max="19" width="17.5546875" style="170" customWidth="1"/>
    <col min="20" max="20" width="15.6640625" style="170" customWidth="1"/>
    <col min="21" max="21" width="17.6640625" style="170" customWidth="1"/>
    <col min="22" max="22" width="18.109375" style="170" customWidth="1"/>
    <col min="23" max="23" width="16.33203125" style="170" customWidth="1"/>
    <col min="24" max="24" width="19.109375" style="170" customWidth="1"/>
    <col min="25" max="26" width="13.88671875" style="170" customWidth="1"/>
    <col min="27" max="27" width="12.109375" style="170" customWidth="1"/>
    <col min="28" max="28" width="13.5546875" style="170" customWidth="1"/>
    <col min="29" max="29" width="14.5546875" style="170" customWidth="1"/>
    <col min="30" max="30" width="13.109375" style="170" customWidth="1"/>
    <col min="31" max="31" width="12.44140625" style="170" customWidth="1"/>
    <col min="32" max="32" width="14" style="170" customWidth="1"/>
    <col min="33" max="16384" width="9.109375" style="170"/>
  </cols>
  <sheetData>
    <row r="1" spans="1:33" ht="15.6" x14ac:dyDescent="0.3">
      <c r="A1" s="168" t="s">
        <v>247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3" ht="15.6" x14ac:dyDescent="0.3">
      <c r="A2" s="168" t="s">
        <v>298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3" x14ac:dyDescent="0.3">
      <c r="A3" s="335" t="s">
        <v>0</v>
      </c>
      <c r="B3" s="335"/>
      <c r="C3" s="171">
        <v>30651</v>
      </c>
      <c r="D3" s="171">
        <v>31017</v>
      </c>
      <c r="E3" s="171">
        <v>31382</v>
      </c>
      <c r="F3" s="171">
        <v>31747</v>
      </c>
      <c r="G3" s="171">
        <v>32112</v>
      </c>
      <c r="H3" s="171">
        <v>32478</v>
      </c>
      <c r="I3" s="171">
        <v>32843</v>
      </c>
      <c r="J3" s="171">
        <v>33208</v>
      </c>
      <c r="K3" s="171">
        <v>33573</v>
      </c>
      <c r="L3" s="171">
        <v>33939</v>
      </c>
      <c r="M3" s="171">
        <v>34304</v>
      </c>
      <c r="N3" s="171">
        <v>34669</v>
      </c>
      <c r="O3" s="171">
        <v>35034</v>
      </c>
      <c r="P3" s="171">
        <v>35400</v>
      </c>
      <c r="Q3" s="171">
        <v>35765</v>
      </c>
      <c r="R3" s="171">
        <v>36130</v>
      </c>
      <c r="S3" s="171">
        <v>36495</v>
      </c>
      <c r="T3" s="171">
        <v>36861</v>
      </c>
      <c r="U3" s="171">
        <v>37226</v>
      </c>
      <c r="V3" s="171">
        <v>37591</v>
      </c>
      <c r="W3" s="171">
        <v>37956</v>
      </c>
      <c r="X3" s="171">
        <v>38322</v>
      </c>
      <c r="Y3" s="171">
        <v>38687</v>
      </c>
      <c r="Z3" s="171">
        <v>39052</v>
      </c>
      <c r="AA3" s="171">
        <v>39417</v>
      </c>
      <c r="AB3" s="171">
        <v>39783</v>
      </c>
      <c r="AC3" s="171">
        <v>40148</v>
      </c>
      <c r="AD3" s="171">
        <v>40513</v>
      </c>
      <c r="AE3" s="171">
        <v>40878</v>
      </c>
      <c r="AF3" s="171">
        <v>41244</v>
      </c>
      <c r="AG3" s="171">
        <v>41639</v>
      </c>
    </row>
    <row r="4" spans="1:33" x14ac:dyDescent="0.3">
      <c r="A4" s="172" t="s">
        <v>248</v>
      </c>
      <c r="B4" s="173"/>
      <c r="C4" s="174">
        <v>2</v>
      </c>
      <c r="D4" s="174">
        <v>3</v>
      </c>
      <c r="E4" s="174">
        <v>5</v>
      </c>
      <c r="F4" s="174">
        <v>5</v>
      </c>
      <c r="G4" s="174">
        <v>5</v>
      </c>
      <c r="H4" s="174">
        <v>5</v>
      </c>
      <c r="I4" s="174">
        <v>5</v>
      </c>
      <c r="J4" s="174">
        <v>7</v>
      </c>
      <c r="K4" s="174">
        <v>7</v>
      </c>
      <c r="L4" s="174">
        <v>7</v>
      </c>
      <c r="M4" s="174">
        <v>18</v>
      </c>
      <c r="N4" s="174">
        <v>18</v>
      </c>
      <c r="O4" s="174">
        <v>19</v>
      </c>
      <c r="P4" s="174">
        <v>22</v>
      </c>
      <c r="Q4" s="174">
        <v>29</v>
      </c>
      <c r="R4" s="174">
        <v>35</v>
      </c>
      <c r="S4" s="174">
        <v>58</v>
      </c>
      <c r="T4" s="174">
        <v>63</v>
      </c>
      <c r="U4" s="174">
        <v>64</v>
      </c>
      <c r="V4" s="174">
        <v>68</v>
      </c>
      <c r="W4" s="174">
        <v>69</v>
      </c>
      <c r="X4" s="174">
        <v>80</v>
      </c>
      <c r="Y4" s="174">
        <v>87</v>
      </c>
      <c r="Z4" s="174">
        <v>93</v>
      </c>
      <c r="AA4" s="174">
        <v>93</v>
      </c>
      <c r="AB4" s="174">
        <v>94</v>
      </c>
      <c r="AC4" s="174">
        <v>105</v>
      </c>
      <c r="AD4" s="174">
        <v>109</v>
      </c>
      <c r="AE4" s="174">
        <v>112</v>
      </c>
      <c r="AF4" s="175">
        <v>112</v>
      </c>
      <c r="AG4" s="170">
        <f>'2. Overall cum progress June 14'!M4</f>
        <v>120</v>
      </c>
    </row>
    <row r="5" spans="1:33" x14ac:dyDescent="0.3">
      <c r="A5" s="176" t="s">
        <v>299</v>
      </c>
      <c r="B5" s="173"/>
      <c r="C5" s="174">
        <v>25</v>
      </c>
      <c r="D5" s="174">
        <v>86</v>
      </c>
      <c r="E5" s="174">
        <v>110</v>
      </c>
      <c r="F5" s="174">
        <v>110</v>
      </c>
      <c r="G5" s="174">
        <v>110</v>
      </c>
      <c r="H5" s="174">
        <v>110</v>
      </c>
      <c r="I5" s="174">
        <v>110</v>
      </c>
      <c r="J5" s="174">
        <v>120</v>
      </c>
      <c r="K5" s="174">
        <v>121</v>
      </c>
      <c r="L5" s="174">
        <v>121</v>
      </c>
      <c r="M5" s="174">
        <v>165</v>
      </c>
      <c r="N5" s="174">
        <v>250</v>
      </c>
      <c r="O5" s="174">
        <v>284</v>
      </c>
      <c r="P5" s="174">
        <v>440</v>
      </c>
      <c r="Q5" s="174">
        <v>528</v>
      </c>
      <c r="R5" s="174">
        <v>665</v>
      </c>
      <c r="S5" s="174">
        <v>997</v>
      </c>
      <c r="T5" s="174">
        <v>1093</v>
      </c>
      <c r="U5" s="174">
        <v>1205</v>
      </c>
      <c r="V5" s="174">
        <v>1521</v>
      </c>
      <c r="W5" s="174">
        <v>1642</v>
      </c>
      <c r="X5" s="174">
        <v>1894</v>
      </c>
      <c r="Y5" s="174">
        <v>2459</v>
      </c>
      <c r="Z5" s="174">
        <v>2647</v>
      </c>
      <c r="AA5" s="174">
        <v>2852</v>
      </c>
      <c r="AB5" s="174">
        <v>3187</v>
      </c>
      <c r="AC5" s="174">
        <v>3468</v>
      </c>
      <c r="AD5" s="174">
        <v>3739</v>
      </c>
      <c r="AE5" s="174">
        <v>3528</v>
      </c>
      <c r="AF5" s="175">
        <v>3579</v>
      </c>
      <c r="AG5" s="170">
        <f>'2. Overall cum progress June 14'!M5</f>
        <v>3617</v>
      </c>
    </row>
    <row r="6" spans="1:33" x14ac:dyDescent="0.3">
      <c r="A6" s="176" t="s">
        <v>300</v>
      </c>
      <c r="B6" s="173"/>
      <c r="C6" s="174">
        <v>9429.2324966162178</v>
      </c>
      <c r="D6" s="174">
        <v>27541.183979328169</v>
      </c>
      <c r="E6" s="174">
        <v>32194.764531807559</v>
      </c>
      <c r="F6" s="174">
        <v>36593.247176079742</v>
      </c>
      <c r="G6" s="174">
        <v>41864.227267134251</v>
      </c>
      <c r="H6" s="174">
        <v>47702.526325827494</v>
      </c>
      <c r="I6" s="174">
        <v>52553.299126368896</v>
      </c>
      <c r="J6" s="174">
        <v>63040.744524424765</v>
      </c>
      <c r="K6" s="174">
        <v>69370.538999630866</v>
      </c>
      <c r="L6" s="174">
        <v>75465.052497846686</v>
      </c>
      <c r="M6" s="174">
        <v>93525.429568106309</v>
      </c>
      <c r="N6" s="174">
        <v>106187.28372093022</v>
      </c>
      <c r="O6" s="174">
        <v>120297.6977728559</v>
      </c>
      <c r="P6" s="174">
        <v>163222.66893687705</v>
      </c>
      <c r="Q6" s="174">
        <v>217658.34453057707</v>
      </c>
      <c r="R6" s="174">
        <v>292997.91411344899</v>
      </c>
      <c r="S6" s="174">
        <v>391655.85943152453</v>
      </c>
      <c r="T6" s="174">
        <v>473371.01459948317</v>
      </c>
      <c r="U6" s="174">
        <v>606186.94726836472</v>
      </c>
      <c r="V6" s="174">
        <v>740798.94726836472</v>
      </c>
      <c r="W6" s="174">
        <v>842214.94726836472</v>
      </c>
      <c r="X6" s="174">
        <v>974557.02857142861</v>
      </c>
      <c r="Y6" s="174">
        <v>1153289.6369262952</v>
      </c>
      <c r="Z6" s="174">
        <v>1376039.6050510644</v>
      </c>
      <c r="AA6" s="174">
        <v>1792948</v>
      </c>
      <c r="AB6" s="174">
        <v>2206474</v>
      </c>
      <c r="AC6" s="174">
        <v>2985924</v>
      </c>
      <c r="AD6" s="174">
        <v>4148316</v>
      </c>
      <c r="AE6" s="174">
        <v>4605847</v>
      </c>
      <c r="AF6" s="175">
        <v>5190417</v>
      </c>
      <c r="AG6" s="170">
        <f>'2. Overall cum progress June 14'!M6</f>
        <v>5847177</v>
      </c>
    </row>
    <row r="7" spans="1:33" x14ac:dyDescent="0.3">
      <c r="A7" s="177" t="s">
        <v>301</v>
      </c>
      <c r="B7" s="178"/>
      <c r="C7" s="179">
        <v>0</v>
      </c>
      <c r="D7" s="174">
        <v>0</v>
      </c>
      <c r="E7" s="174">
        <v>0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4">
        <v>0</v>
      </c>
      <c r="N7" s="174">
        <v>0</v>
      </c>
      <c r="O7" s="174"/>
      <c r="P7" s="174">
        <v>0</v>
      </c>
      <c r="Q7" s="174">
        <v>0</v>
      </c>
      <c r="R7" s="174">
        <v>0</v>
      </c>
      <c r="S7" s="174">
        <v>0</v>
      </c>
      <c r="T7" s="174">
        <v>0</v>
      </c>
      <c r="U7" s="174">
        <v>0</v>
      </c>
      <c r="V7" s="174">
        <v>0</v>
      </c>
      <c r="W7" s="174">
        <v>0</v>
      </c>
      <c r="X7" s="174">
        <v>0</v>
      </c>
      <c r="Y7" s="174">
        <v>0</v>
      </c>
      <c r="Z7" s="174">
        <v>0</v>
      </c>
      <c r="AA7" s="174">
        <v>0</v>
      </c>
      <c r="AB7" s="174">
        <v>0</v>
      </c>
      <c r="AC7" s="174">
        <v>261</v>
      </c>
      <c r="AD7" s="174">
        <v>484</v>
      </c>
      <c r="AE7" s="174">
        <v>624</v>
      </c>
      <c r="AF7" s="175">
        <v>765</v>
      </c>
      <c r="AG7" s="170">
        <f>'2. Overall cum progress June 14'!M7</f>
        <v>1071</v>
      </c>
    </row>
    <row r="8" spans="1:33" x14ac:dyDescent="0.3">
      <c r="A8" s="336" t="s">
        <v>287</v>
      </c>
      <c r="B8" s="180" t="s">
        <v>13</v>
      </c>
      <c r="C8" s="174">
        <v>0</v>
      </c>
      <c r="D8" s="174">
        <v>76</v>
      </c>
      <c r="E8" s="174">
        <v>103</v>
      </c>
      <c r="F8" s="174">
        <v>124</v>
      </c>
      <c r="G8" s="174">
        <v>161</v>
      </c>
      <c r="H8" s="174">
        <v>230</v>
      </c>
      <c r="I8" s="174">
        <v>287</v>
      </c>
      <c r="J8" s="174">
        <v>403</v>
      </c>
      <c r="K8" s="174">
        <v>507</v>
      </c>
      <c r="L8" s="174">
        <v>612</v>
      </c>
      <c r="M8" s="174">
        <v>832</v>
      </c>
      <c r="N8" s="174">
        <v>1100</v>
      </c>
      <c r="O8" s="174">
        <v>1295</v>
      </c>
      <c r="P8" s="174">
        <v>1878</v>
      </c>
      <c r="Q8" s="174">
        <v>2682</v>
      </c>
      <c r="R8" s="174">
        <v>3460</v>
      </c>
      <c r="S8" s="174">
        <v>4909</v>
      </c>
      <c r="T8" s="174">
        <v>6805</v>
      </c>
      <c r="U8" s="174">
        <v>9623</v>
      </c>
      <c r="V8" s="174">
        <v>11806</v>
      </c>
      <c r="W8" s="174">
        <v>14066</v>
      </c>
      <c r="X8" s="174">
        <v>17196</v>
      </c>
      <c r="Y8" s="174">
        <v>21224</v>
      </c>
      <c r="Z8" s="174">
        <v>25917</v>
      </c>
      <c r="AA8" s="174">
        <v>34357</v>
      </c>
      <c r="AB8" s="174">
        <v>42040</v>
      </c>
      <c r="AC8" s="174">
        <v>69350</v>
      </c>
      <c r="AD8" s="174">
        <v>107848</v>
      </c>
      <c r="AE8" s="174">
        <v>126925</v>
      </c>
      <c r="AF8" s="175">
        <v>151842</v>
      </c>
      <c r="AG8" s="170">
        <f>'2. Overall cum progress June 14'!M8</f>
        <v>169663</v>
      </c>
    </row>
    <row r="9" spans="1:33" x14ac:dyDescent="0.3">
      <c r="A9" s="336"/>
      <c r="B9" s="181" t="s">
        <v>14</v>
      </c>
      <c r="C9" s="174">
        <v>178</v>
      </c>
      <c r="D9" s="174">
        <v>401</v>
      </c>
      <c r="E9" s="174">
        <v>483</v>
      </c>
      <c r="F9" s="174">
        <v>566</v>
      </c>
      <c r="G9" s="174">
        <v>754</v>
      </c>
      <c r="H9" s="174">
        <v>979</v>
      </c>
      <c r="I9" s="174">
        <v>1158</v>
      </c>
      <c r="J9" s="174">
        <v>1373</v>
      </c>
      <c r="K9" s="174">
        <v>1562</v>
      </c>
      <c r="L9" s="174">
        <v>1723</v>
      </c>
      <c r="M9" s="174">
        <v>2150</v>
      </c>
      <c r="N9" s="174">
        <v>2594</v>
      </c>
      <c r="O9" s="174">
        <v>2866</v>
      </c>
      <c r="P9" s="174">
        <v>3877</v>
      </c>
      <c r="Q9" s="174">
        <v>5222</v>
      </c>
      <c r="R9" s="174">
        <v>7758</v>
      </c>
      <c r="S9" s="174">
        <v>10700.1</v>
      </c>
      <c r="T9" s="174">
        <v>14087.25</v>
      </c>
      <c r="U9" s="174">
        <v>19122.25</v>
      </c>
      <c r="V9" s="174">
        <v>23567.25</v>
      </c>
      <c r="W9" s="174">
        <v>28023.25</v>
      </c>
      <c r="X9" s="174">
        <v>33276.25</v>
      </c>
      <c r="Y9" s="174">
        <v>41472.25</v>
      </c>
      <c r="Z9" s="174">
        <v>51345.25</v>
      </c>
      <c r="AA9" s="174">
        <v>75369</v>
      </c>
      <c r="AB9" s="174">
        <v>94891</v>
      </c>
      <c r="AC9" s="174">
        <v>113495</v>
      </c>
      <c r="AD9" s="174">
        <v>136575</v>
      </c>
      <c r="AE9" s="174">
        <v>142643</v>
      </c>
      <c r="AF9" s="175">
        <v>150078</v>
      </c>
      <c r="AG9" s="170">
        <f>'2. Overall cum progress June 14'!M9</f>
        <v>166294</v>
      </c>
    </row>
    <row r="10" spans="1:33" x14ac:dyDescent="0.3">
      <c r="A10" s="336"/>
      <c r="B10" s="181" t="s">
        <v>15</v>
      </c>
      <c r="C10" s="174">
        <v>0</v>
      </c>
      <c r="D10" s="174">
        <v>0</v>
      </c>
      <c r="E10" s="174">
        <v>0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4">
        <v>10</v>
      </c>
      <c r="N10" s="174">
        <v>52</v>
      </c>
      <c r="O10" s="174">
        <v>52</v>
      </c>
      <c r="P10" s="174">
        <v>156</v>
      </c>
      <c r="Q10" s="174">
        <v>328</v>
      </c>
      <c r="R10" s="174">
        <v>483</v>
      </c>
      <c r="S10" s="174">
        <v>714.1</v>
      </c>
      <c r="T10" s="174">
        <v>891.1</v>
      </c>
      <c r="U10" s="174">
        <v>1078.0999999999999</v>
      </c>
      <c r="V10" s="174">
        <v>1252.0999999999999</v>
      </c>
      <c r="W10" s="174">
        <v>1477.1</v>
      </c>
      <c r="X10" s="174">
        <v>1584.1</v>
      </c>
      <c r="Y10" s="174">
        <v>2230.1</v>
      </c>
      <c r="Z10" s="174">
        <v>2913.1</v>
      </c>
      <c r="AA10" s="174">
        <v>4066</v>
      </c>
      <c r="AB10" s="174">
        <v>5387</v>
      </c>
      <c r="AC10" s="174">
        <v>7553</v>
      </c>
      <c r="AD10" s="174">
        <v>10447</v>
      </c>
      <c r="AE10" s="174">
        <v>10437</v>
      </c>
      <c r="AF10" s="175">
        <v>11224</v>
      </c>
      <c r="AG10" s="170">
        <f>'2. Overall cum progress June 14'!M10</f>
        <v>14010</v>
      </c>
    </row>
    <row r="11" spans="1:33" x14ac:dyDescent="0.3">
      <c r="A11" s="336"/>
      <c r="B11" s="182" t="s">
        <v>16</v>
      </c>
      <c r="C11" s="183">
        <v>178</v>
      </c>
      <c r="D11" s="183">
        <v>477</v>
      </c>
      <c r="E11" s="183">
        <v>586</v>
      </c>
      <c r="F11" s="183">
        <v>690</v>
      </c>
      <c r="G11" s="183">
        <v>915</v>
      </c>
      <c r="H11" s="183">
        <v>1209</v>
      </c>
      <c r="I11" s="183">
        <v>1445</v>
      </c>
      <c r="J11" s="183">
        <v>1776</v>
      </c>
      <c r="K11" s="183">
        <v>2069</v>
      </c>
      <c r="L11" s="183">
        <v>2335</v>
      </c>
      <c r="M11" s="183">
        <v>2992</v>
      </c>
      <c r="N11" s="183">
        <v>3746</v>
      </c>
      <c r="O11" s="183">
        <v>4213</v>
      </c>
      <c r="P11" s="183">
        <v>5911</v>
      </c>
      <c r="Q11" s="183">
        <v>8232</v>
      </c>
      <c r="R11" s="183">
        <v>11701</v>
      </c>
      <c r="S11" s="183">
        <v>16323.2</v>
      </c>
      <c r="T11" s="183">
        <v>21783.35</v>
      </c>
      <c r="U11" s="183">
        <v>29823.35</v>
      </c>
      <c r="V11" s="183">
        <v>36625.35</v>
      </c>
      <c r="W11" s="183">
        <v>43566.35</v>
      </c>
      <c r="X11" s="183">
        <v>52056.35</v>
      </c>
      <c r="Y11" s="183">
        <v>64926.35</v>
      </c>
      <c r="Z11" s="183">
        <v>80175.350000000006</v>
      </c>
      <c r="AA11" s="183">
        <v>113792</v>
      </c>
      <c r="AB11" s="183">
        <v>142318</v>
      </c>
      <c r="AC11" s="183">
        <v>190398</v>
      </c>
      <c r="AD11" s="183">
        <v>254870</v>
      </c>
      <c r="AE11" s="183">
        <v>280005</v>
      </c>
      <c r="AF11" s="184">
        <v>313144</v>
      </c>
      <c r="AG11" s="170">
        <f>'2. Overall cum progress June 14'!M11</f>
        <v>349967</v>
      </c>
    </row>
    <row r="12" spans="1:33" x14ac:dyDescent="0.3">
      <c r="A12" s="336" t="s">
        <v>302</v>
      </c>
      <c r="B12" s="180" t="s">
        <v>17</v>
      </c>
      <c r="C12" s="174">
        <v>0</v>
      </c>
      <c r="D12" s="174">
        <v>4156</v>
      </c>
      <c r="E12" s="174">
        <v>5351</v>
      </c>
      <c r="F12" s="174">
        <v>6770</v>
      </c>
      <c r="G12" s="174">
        <v>8308</v>
      </c>
      <c r="H12" s="174">
        <v>9667</v>
      </c>
      <c r="I12" s="174">
        <v>11342</v>
      </c>
      <c r="J12" s="174">
        <v>15868</v>
      </c>
      <c r="K12" s="174">
        <v>18370</v>
      </c>
      <c r="L12" s="174">
        <v>20668</v>
      </c>
      <c r="M12" s="174">
        <v>27083</v>
      </c>
      <c r="N12" s="174">
        <v>34948</v>
      </c>
      <c r="O12" s="174">
        <v>41234</v>
      </c>
      <c r="P12" s="174">
        <v>60898</v>
      </c>
      <c r="Q12" s="174">
        <v>84330</v>
      </c>
      <c r="R12" s="174">
        <v>106010</v>
      </c>
      <c r="S12" s="174">
        <v>146484</v>
      </c>
      <c r="T12" s="174">
        <v>177654</v>
      </c>
      <c r="U12" s="174">
        <v>228862</v>
      </c>
      <c r="V12" s="174">
        <v>269932</v>
      </c>
      <c r="W12" s="174">
        <v>310752.90000000002</v>
      </c>
      <c r="X12" s="174">
        <v>361417.9</v>
      </c>
      <c r="Y12" s="174">
        <v>430288.10000000003</v>
      </c>
      <c r="Z12" s="174">
        <v>508702</v>
      </c>
      <c r="AA12" s="174">
        <v>655372</v>
      </c>
      <c r="AB12" s="174">
        <v>784693</v>
      </c>
      <c r="AC12" s="174">
        <v>1342680</v>
      </c>
      <c r="AD12" s="174">
        <v>1985063</v>
      </c>
      <c r="AE12" s="174">
        <v>2272219</v>
      </c>
      <c r="AF12" s="175">
        <v>2733738</v>
      </c>
      <c r="AG12" s="170">
        <f>'2. Overall cum progress June 14'!M12</f>
        <v>3094081</v>
      </c>
    </row>
    <row r="13" spans="1:33" x14ac:dyDescent="0.3">
      <c r="A13" s="336"/>
      <c r="B13" s="181" t="s">
        <v>18</v>
      </c>
      <c r="C13" s="174">
        <v>12050</v>
      </c>
      <c r="D13" s="174">
        <v>31040</v>
      </c>
      <c r="E13" s="174">
        <v>35792</v>
      </c>
      <c r="F13" s="174">
        <v>39994</v>
      </c>
      <c r="G13" s="174">
        <v>45192</v>
      </c>
      <c r="H13" s="174">
        <v>51294</v>
      </c>
      <c r="I13" s="174">
        <v>55818</v>
      </c>
      <c r="J13" s="174">
        <v>64410</v>
      </c>
      <c r="K13" s="174">
        <v>69444</v>
      </c>
      <c r="L13" s="174">
        <v>74301</v>
      </c>
      <c r="M13" s="174">
        <v>89234</v>
      </c>
      <c r="N13" s="174">
        <v>95127</v>
      </c>
      <c r="O13" s="174">
        <v>104513</v>
      </c>
      <c r="P13" s="174">
        <v>138851</v>
      </c>
      <c r="Q13" s="174">
        <v>178964</v>
      </c>
      <c r="R13" s="174">
        <v>241323</v>
      </c>
      <c r="S13" s="174">
        <v>305514</v>
      </c>
      <c r="T13" s="174">
        <v>379082</v>
      </c>
      <c r="U13" s="174">
        <v>485688</v>
      </c>
      <c r="V13" s="174">
        <v>581592</v>
      </c>
      <c r="W13" s="174">
        <v>669609</v>
      </c>
      <c r="X13" s="174">
        <v>757198</v>
      </c>
      <c r="Y13" s="174">
        <v>900998</v>
      </c>
      <c r="Z13" s="174">
        <v>1066958</v>
      </c>
      <c r="AA13" s="174">
        <v>1429124</v>
      </c>
      <c r="AB13" s="174">
        <v>1695879</v>
      </c>
      <c r="AC13" s="174">
        <v>1961139</v>
      </c>
      <c r="AD13" s="174">
        <v>2414693</v>
      </c>
      <c r="AE13" s="174">
        <v>2471344</v>
      </c>
      <c r="AF13" s="175">
        <v>2608961</v>
      </c>
      <c r="AG13" s="170">
        <f>'2. Overall cum progress June 14'!M13</f>
        <v>2930816</v>
      </c>
    </row>
    <row r="14" spans="1:33" x14ac:dyDescent="0.3">
      <c r="A14" s="336"/>
      <c r="B14" s="182" t="s">
        <v>16</v>
      </c>
      <c r="C14" s="183">
        <v>12050</v>
      </c>
      <c r="D14" s="183">
        <v>35196</v>
      </c>
      <c r="E14" s="183">
        <v>41143</v>
      </c>
      <c r="F14" s="183">
        <v>46764</v>
      </c>
      <c r="G14" s="183">
        <v>53500</v>
      </c>
      <c r="H14" s="183">
        <v>60961</v>
      </c>
      <c r="I14" s="183">
        <v>67160</v>
      </c>
      <c r="J14" s="183">
        <v>80278</v>
      </c>
      <c r="K14" s="183">
        <v>87814</v>
      </c>
      <c r="L14" s="183">
        <v>94969</v>
      </c>
      <c r="M14" s="183">
        <v>116317</v>
      </c>
      <c r="N14" s="183">
        <v>130075</v>
      </c>
      <c r="O14" s="183">
        <v>145747</v>
      </c>
      <c r="P14" s="183">
        <v>199749</v>
      </c>
      <c r="Q14" s="183">
        <v>263294</v>
      </c>
      <c r="R14" s="183">
        <v>347333</v>
      </c>
      <c r="S14" s="183">
        <v>451998</v>
      </c>
      <c r="T14" s="183">
        <v>556736</v>
      </c>
      <c r="U14" s="183">
        <v>714550</v>
      </c>
      <c r="V14" s="183">
        <v>851524</v>
      </c>
      <c r="W14" s="183">
        <v>980361.9</v>
      </c>
      <c r="X14" s="183">
        <v>1118615.8999999999</v>
      </c>
      <c r="Y14" s="183">
        <v>1331286.0999999999</v>
      </c>
      <c r="Z14" s="183">
        <v>1575659.9999999998</v>
      </c>
      <c r="AA14" s="183">
        <v>2084496</v>
      </c>
      <c r="AB14" s="183">
        <v>2480572</v>
      </c>
      <c r="AC14" s="183">
        <v>3303819</v>
      </c>
      <c r="AD14" s="183">
        <v>4399756</v>
      </c>
      <c r="AE14" s="183">
        <v>4743563</v>
      </c>
      <c r="AF14" s="184">
        <v>5342699</v>
      </c>
      <c r="AG14" s="170">
        <f>'2. Overall cum progress June 14'!M14</f>
        <v>6024897</v>
      </c>
    </row>
    <row r="15" spans="1:33" x14ac:dyDescent="0.3">
      <c r="A15" s="337" t="s">
        <v>249</v>
      </c>
      <c r="B15" s="185" t="s">
        <v>17</v>
      </c>
      <c r="C15" s="186">
        <v>0</v>
      </c>
      <c r="D15" s="174">
        <v>0.52</v>
      </c>
      <c r="E15" s="174">
        <v>1.38</v>
      </c>
      <c r="F15" s="174">
        <v>2.12</v>
      </c>
      <c r="G15" s="174">
        <v>3.3511660000000001</v>
      </c>
      <c r="H15" s="174">
        <v>4.82</v>
      </c>
      <c r="I15" s="174">
        <v>7.6400000000000006</v>
      </c>
      <c r="J15" s="174">
        <v>10.405999999999999</v>
      </c>
      <c r="K15" s="174">
        <v>13.660999999999998</v>
      </c>
      <c r="L15" s="174">
        <v>17.787599999999998</v>
      </c>
      <c r="M15" s="174">
        <v>23.410838999999996</v>
      </c>
      <c r="N15" s="174">
        <v>33.897176999999999</v>
      </c>
      <c r="O15" s="174">
        <v>50.122177000000001</v>
      </c>
      <c r="P15" s="174">
        <v>67.844358999999997</v>
      </c>
      <c r="Q15" s="174">
        <v>86.601716999999994</v>
      </c>
      <c r="R15" s="174">
        <v>113.09934699999999</v>
      </c>
      <c r="S15" s="174">
        <v>131.40386000000001</v>
      </c>
      <c r="T15" s="174">
        <v>152.436712</v>
      </c>
      <c r="U15" s="174">
        <v>187.15009699999999</v>
      </c>
      <c r="V15" s="174">
        <v>214.49246599999998</v>
      </c>
      <c r="W15" s="174">
        <v>232.68807499999997</v>
      </c>
      <c r="X15" s="174">
        <v>255.77047199999998</v>
      </c>
      <c r="Y15" s="174">
        <v>286.66726699999998</v>
      </c>
      <c r="Z15" s="174">
        <v>326.90143399999999</v>
      </c>
      <c r="AA15" s="174">
        <v>405.65</v>
      </c>
      <c r="AB15" s="174">
        <v>438.99700000000001</v>
      </c>
      <c r="AC15" s="174">
        <v>474.46</v>
      </c>
      <c r="AD15" s="174">
        <v>524.33000000000004</v>
      </c>
      <c r="AE15" s="174">
        <v>594</v>
      </c>
      <c r="AF15" s="175">
        <v>748.18999999999994</v>
      </c>
      <c r="AG15" s="170">
        <f>'2. Overall cum progress June 14'!M15</f>
        <v>715.35420999999997</v>
      </c>
    </row>
    <row r="16" spans="1:33" x14ac:dyDescent="0.3">
      <c r="A16" s="337"/>
      <c r="B16" s="187" t="s">
        <v>18</v>
      </c>
      <c r="C16" s="188">
        <v>0.66274999999999995</v>
      </c>
      <c r="D16" s="174">
        <v>5.87</v>
      </c>
      <c r="E16" s="174">
        <v>10.530000000000001</v>
      </c>
      <c r="F16" s="174">
        <v>17.96</v>
      </c>
      <c r="G16" s="174">
        <v>34.340000000000003</v>
      </c>
      <c r="H16" s="174">
        <v>51.33</v>
      </c>
      <c r="I16" s="174">
        <v>68.41</v>
      </c>
      <c r="J16" s="174">
        <v>86.44</v>
      </c>
      <c r="K16" s="174">
        <v>104.15009999999999</v>
      </c>
      <c r="L16" s="174">
        <v>127.39009999999999</v>
      </c>
      <c r="M16" s="174">
        <v>143.040166</v>
      </c>
      <c r="N16" s="174">
        <v>181.25131299999998</v>
      </c>
      <c r="O16" s="174">
        <v>216.154313</v>
      </c>
      <c r="P16" s="174">
        <v>261.67672499999998</v>
      </c>
      <c r="Q16" s="174">
        <v>310.013937</v>
      </c>
      <c r="R16" s="174">
        <v>365.60872499999999</v>
      </c>
      <c r="S16" s="174">
        <v>427.18954600000001</v>
      </c>
      <c r="T16" s="174">
        <v>488.12429700000001</v>
      </c>
      <c r="U16" s="174">
        <v>554.72024899999997</v>
      </c>
      <c r="V16" s="174">
        <v>628.37888399999997</v>
      </c>
      <c r="W16" s="174">
        <v>672.90471700000001</v>
      </c>
      <c r="X16" s="174">
        <v>825.46499599999993</v>
      </c>
      <c r="Y16" s="174">
        <v>916.99944399999993</v>
      </c>
      <c r="Z16" s="174">
        <v>1058.2791649999999</v>
      </c>
      <c r="AA16" s="174">
        <v>1465.1</v>
      </c>
      <c r="AB16" s="174">
        <v>1601.626</v>
      </c>
      <c r="AC16" s="174">
        <v>1656.2</v>
      </c>
      <c r="AD16" s="174">
        <v>1832.35</v>
      </c>
      <c r="AE16" s="174">
        <v>1786</v>
      </c>
      <c r="AF16" s="175">
        <v>1820.3119999999997</v>
      </c>
      <c r="AG16" s="170">
        <f>'2. Overall cum progress June 14'!M16</f>
        <v>1911.7217749999998</v>
      </c>
    </row>
    <row r="17" spans="1:33" x14ac:dyDescent="0.3">
      <c r="A17" s="337"/>
      <c r="B17" s="182" t="s">
        <v>16</v>
      </c>
      <c r="C17" s="189">
        <v>0.66274999999999995</v>
      </c>
      <c r="D17" s="183">
        <v>6.39</v>
      </c>
      <c r="E17" s="183">
        <v>11.91</v>
      </c>
      <c r="F17" s="183">
        <v>20.079999999999998</v>
      </c>
      <c r="G17" s="183">
        <v>37.691165999999996</v>
      </c>
      <c r="H17" s="183">
        <v>56.149999999999991</v>
      </c>
      <c r="I17" s="183">
        <v>76.049999999999983</v>
      </c>
      <c r="J17" s="183">
        <v>96.845999999999975</v>
      </c>
      <c r="K17" s="183">
        <v>117.81109999999998</v>
      </c>
      <c r="L17" s="183">
        <v>145.17769999999999</v>
      </c>
      <c r="M17" s="183">
        <v>166.45100499999998</v>
      </c>
      <c r="N17" s="183">
        <v>215.14848999999998</v>
      </c>
      <c r="O17" s="183">
        <v>266.27648999999997</v>
      </c>
      <c r="P17" s="183">
        <v>329.52108399999997</v>
      </c>
      <c r="Q17" s="183">
        <v>396.61565399999995</v>
      </c>
      <c r="R17" s="183">
        <v>478.70807199999996</v>
      </c>
      <c r="S17" s="183">
        <v>558.59340599999996</v>
      </c>
      <c r="T17" s="183">
        <v>640.5610089999999</v>
      </c>
      <c r="U17" s="183">
        <v>741.87034599999993</v>
      </c>
      <c r="V17" s="183">
        <v>842.87134999999989</v>
      </c>
      <c r="W17" s="183">
        <v>905.59279199999992</v>
      </c>
      <c r="X17" s="183">
        <v>1081.2354679999999</v>
      </c>
      <c r="Y17" s="183">
        <v>1203.6667109999999</v>
      </c>
      <c r="Z17" s="183">
        <v>1385.1805989999998</v>
      </c>
      <c r="AA17" s="183">
        <v>1870.75</v>
      </c>
      <c r="AB17" s="183">
        <v>2040.623</v>
      </c>
      <c r="AC17" s="183">
        <v>2130.66</v>
      </c>
      <c r="AD17" s="183">
        <v>2356.6799999999998</v>
      </c>
      <c r="AE17" s="183">
        <v>2380</v>
      </c>
      <c r="AF17" s="184">
        <v>2568.5019999999995</v>
      </c>
      <c r="AG17" s="170">
        <f>'2. Overall cum progress June 14'!M17</f>
        <v>2627.0759849999995</v>
      </c>
    </row>
    <row r="18" spans="1:33" x14ac:dyDescent="0.3">
      <c r="A18" s="336" t="s">
        <v>19</v>
      </c>
      <c r="B18" s="180" t="s">
        <v>17</v>
      </c>
      <c r="C18" s="174">
        <v>0</v>
      </c>
      <c r="D18" s="174">
        <v>0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74</v>
      </c>
      <c r="L18" s="174">
        <v>1318</v>
      </c>
      <c r="M18" s="174">
        <v>1827</v>
      </c>
      <c r="N18" s="174">
        <v>3151</v>
      </c>
      <c r="O18" s="174">
        <v>4148</v>
      </c>
      <c r="P18" s="174">
        <v>7054</v>
      </c>
      <c r="Q18" s="174">
        <v>12433</v>
      </c>
      <c r="R18" s="174">
        <v>18299</v>
      </c>
      <c r="S18" s="174">
        <v>37314</v>
      </c>
      <c r="T18" s="174">
        <v>58049</v>
      </c>
      <c r="U18" s="174">
        <v>78085</v>
      </c>
      <c r="V18" s="174">
        <v>115299</v>
      </c>
      <c r="W18" s="174">
        <v>153450</v>
      </c>
      <c r="X18" s="174">
        <v>186001</v>
      </c>
      <c r="Y18" s="174">
        <v>225465</v>
      </c>
      <c r="Z18" s="174">
        <v>258380</v>
      </c>
      <c r="AA18" s="174">
        <v>336167</v>
      </c>
      <c r="AB18" s="174">
        <v>398314</v>
      </c>
      <c r="AC18" s="174">
        <v>532151</v>
      </c>
      <c r="AD18" s="174">
        <v>1184804</v>
      </c>
      <c r="AE18" s="174">
        <v>1311885</v>
      </c>
      <c r="AF18" s="175">
        <v>1635674</v>
      </c>
      <c r="AG18" s="170">
        <f>'2. Overall cum progress June 14'!M18</f>
        <v>2081273</v>
      </c>
    </row>
    <row r="19" spans="1:33" x14ac:dyDescent="0.3">
      <c r="A19" s="336"/>
      <c r="B19" s="181" t="s">
        <v>18</v>
      </c>
      <c r="C19" s="174">
        <v>91</v>
      </c>
      <c r="D19" s="174">
        <v>270</v>
      </c>
      <c r="E19" s="174">
        <v>656</v>
      </c>
      <c r="F19" s="174">
        <v>889</v>
      </c>
      <c r="G19" s="174">
        <v>1293</v>
      </c>
      <c r="H19" s="174">
        <v>2063</v>
      </c>
      <c r="I19" s="174">
        <v>2656</v>
      </c>
      <c r="J19" s="174">
        <v>3830</v>
      </c>
      <c r="K19" s="174">
        <v>5121</v>
      </c>
      <c r="L19" s="174">
        <v>9601</v>
      </c>
      <c r="M19" s="174">
        <v>11806</v>
      </c>
      <c r="N19" s="174">
        <v>18382</v>
      </c>
      <c r="O19" s="174">
        <v>20292</v>
      </c>
      <c r="P19" s="174">
        <v>29950</v>
      </c>
      <c r="Q19" s="174">
        <v>38952</v>
      </c>
      <c r="R19" s="174">
        <v>56004</v>
      </c>
      <c r="S19" s="174">
        <v>100591</v>
      </c>
      <c r="T19" s="174">
        <v>156362</v>
      </c>
      <c r="U19" s="174">
        <v>200200</v>
      </c>
      <c r="V19" s="174">
        <v>253956</v>
      </c>
      <c r="W19" s="174">
        <v>309666</v>
      </c>
      <c r="X19" s="174">
        <v>357100</v>
      </c>
      <c r="Y19" s="174">
        <v>422745</v>
      </c>
      <c r="Z19" s="174">
        <v>486118</v>
      </c>
      <c r="AA19" s="174">
        <v>611277</v>
      </c>
      <c r="AB19" s="174">
        <v>698089</v>
      </c>
      <c r="AC19" s="174">
        <v>788342</v>
      </c>
      <c r="AD19" s="174">
        <v>1306092</v>
      </c>
      <c r="AE19" s="174">
        <v>1347469</v>
      </c>
      <c r="AF19" s="175">
        <v>1517653</v>
      </c>
      <c r="AG19" s="170">
        <f>'2. Overall cum progress June 14'!M19</f>
        <v>1853002</v>
      </c>
    </row>
    <row r="20" spans="1:33" x14ac:dyDescent="0.3">
      <c r="A20" s="336"/>
      <c r="B20" s="182" t="s">
        <v>16</v>
      </c>
      <c r="C20" s="183">
        <v>91</v>
      </c>
      <c r="D20" s="183">
        <v>270</v>
      </c>
      <c r="E20" s="183">
        <v>656</v>
      </c>
      <c r="F20" s="183">
        <v>889</v>
      </c>
      <c r="G20" s="183">
        <v>1293</v>
      </c>
      <c r="H20" s="183">
        <v>2063</v>
      </c>
      <c r="I20" s="183">
        <v>2656</v>
      </c>
      <c r="J20" s="183">
        <v>3830</v>
      </c>
      <c r="K20" s="183">
        <v>5195</v>
      </c>
      <c r="L20" s="183">
        <v>10919</v>
      </c>
      <c r="M20" s="183">
        <v>13633</v>
      </c>
      <c r="N20" s="183">
        <v>21533</v>
      </c>
      <c r="O20" s="183">
        <v>24440</v>
      </c>
      <c r="P20" s="183">
        <v>37004</v>
      </c>
      <c r="Q20" s="183">
        <v>51385</v>
      </c>
      <c r="R20" s="183">
        <v>74303</v>
      </c>
      <c r="S20" s="183">
        <v>137905</v>
      </c>
      <c r="T20" s="183">
        <v>214411</v>
      </c>
      <c r="U20" s="183">
        <v>278285</v>
      </c>
      <c r="V20" s="183">
        <v>369255</v>
      </c>
      <c r="W20" s="183">
        <v>463116</v>
      </c>
      <c r="X20" s="183">
        <v>543101</v>
      </c>
      <c r="Y20" s="183">
        <v>648210</v>
      </c>
      <c r="Z20" s="183">
        <v>744498</v>
      </c>
      <c r="AA20" s="183">
        <v>947444</v>
      </c>
      <c r="AB20" s="183">
        <v>1096403</v>
      </c>
      <c r="AC20" s="183">
        <v>1320493</v>
      </c>
      <c r="AD20" s="183">
        <v>2490896</v>
      </c>
      <c r="AE20" s="183">
        <v>2659354</v>
      </c>
      <c r="AF20" s="184">
        <v>3153327</v>
      </c>
      <c r="AG20" s="170">
        <f>'2. Overall cum progress June 14'!M20</f>
        <v>3934275</v>
      </c>
    </row>
    <row r="21" spans="1:33" x14ac:dyDescent="0.3">
      <c r="A21" s="332" t="s">
        <v>205</v>
      </c>
      <c r="B21" s="190" t="s">
        <v>295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191">
        <v>0</v>
      </c>
      <c r="AD21" s="191">
        <v>0</v>
      </c>
      <c r="AE21" s="191">
        <v>179</v>
      </c>
      <c r="AF21" s="175">
        <v>236</v>
      </c>
      <c r="AG21" s="170">
        <f>'2. Overall cum progress June 14'!M21</f>
        <v>277</v>
      </c>
    </row>
    <row r="22" spans="1:33" x14ac:dyDescent="0.3">
      <c r="A22" s="333"/>
      <c r="B22" s="181" t="s">
        <v>296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  <c r="AB22" s="191">
        <v>0</v>
      </c>
      <c r="AC22" s="191">
        <v>0</v>
      </c>
      <c r="AD22" s="191">
        <v>0</v>
      </c>
      <c r="AE22" s="191">
        <v>3594</v>
      </c>
      <c r="AF22" s="175">
        <v>5167</v>
      </c>
      <c r="AG22" s="170">
        <f>'2. Overall cum progress June 14'!M22</f>
        <v>5398</v>
      </c>
    </row>
    <row r="23" spans="1:33" x14ac:dyDescent="0.3">
      <c r="A23" s="333"/>
      <c r="B23" s="181" t="s">
        <v>297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110069</v>
      </c>
      <c r="AF23" s="175">
        <v>152829</v>
      </c>
      <c r="AG23" s="170">
        <f>'2. Overall cum progress June 14'!M23</f>
        <v>197908</v>
      </c>
    </row>
    <row r="24" spans="1:33" ht="28.2" x14ac:dyDescent="0.3">
      <c r="A24" s="334"/>
      <c r="B24" s="181" t="s">
        <v>250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1106</v>
      </c>
      <c r="AF24" s="192">
        <v>1652.9050830000001</v>
      </c>
      <c r="AG24" s="170">
        <f>'2. Overall cum progress June 14'!M24</f>
        <v>2148.3455829999998</v>
      </c>
    </row>
    <row r="25" spans="1:33" x14ac:dyDescent="0.3">
      <c r="A25" s="337" t="s">
        <v>20</v>
      </c>
      <c r="B25" s="185" t="s">
        <v>17</v>
      </c>
      <c r="C25" s="188">
        <v>0</v>
      </c>
      <c r="D25" s="174">
        <v>0</v>
      </c>
      <c r="E25" s="174">
        <v>0</v>
      </c>
      <c r="F25" s="174">
        <v>0</v>
      </c>
      <c r="G25" s="174">
        <v>0.72933599999999998</v>
      </c>
      <c r="H25" s="174">
        <v>2.6786989999999999</v>
      </c>
      <c r="I25" s="174">
        <v>3.9</v>
      </c>
      <c r="J25" s="174">
        <v>6.08</v>
      </c>
      <c r="K25" s="174">
        <v>8.0981000000000005</v>
      </c>
      <c r="L25" s="174">
        <v>11.086100000000002</v>
      </c>
      <c r="M25" s="174">
        <v>16.658100000000001</v>
      </c>
      <c r="N25" s="174">
        <v>27.8354</v>
      </c>
      <c r="O25" s="174">
        <v>51.955740000000006</v>
      </c>
      <c r="P25" s="174">
        <v>89.685465000000008</v>
      </c>
      <c r="Q25" s="174">
        <v>171.398079</v>
      </c>
      <c r="R25" s="174">
        <v>257.79349400000001</v>
      </c>
      <c r="S25" s="174">
        <v>393.65334400000006</v>
      </c>
      <c r="T25" s="174">
        <v>593.8265100000001</v>
      </c>
      <c r="U25" s="174">
        <v>837.80627000000004</v>
      </c>
      <c r="V25" s="174">
        <v>1129.6137100000001</v>
      </c>
      <c r="W25" s="174">
        <v>1564.6495610000002</v>
      </c>
      <c r="X25" s="174">
        <v>2141.8754820000004</v>
      </c>
      <c r="Y25" s="174">
        <v>2963.9566730000006</v>
      </c>
      <c r="Z25" s="174">
        <v>4199.2255530000002</v>
      </c>
      <c r="AA25" s="174">
        <v>8062.3</v>
      </c>
      <c r="AB25" s="174">
        <v>12289.19</v>
      </c>
      <c r="AC25" s="174">
        <v>16292.39</v>
      </c>
      <c r="AD25" s="174">
        <v>18466.13</v>
      </c>
      <c r="AE25" s="174">
        <v>26846</v>
      </c>
      <c r="AF25" s="175">
        <v>34781.01571</v>
      </c>
      <c r="AG25" s="170">
        <f>'2. Overall cum progress June 14'!M25</f>
        <v>52556.471209999996</v>
      </c>
    </row>
    <row r="26" spans="1:33" x14ac:dyDescent="0.3">
      <c r="A26" s="337"/>
      <c r="B26" s="187" t="s">
        <v>18</v>
      </c>
      <c r="C26" s="188">
        <v>0.71</v>
      </c>
      <c r="D26" s="174">
        <v>3.52</v>
      </c>
      <c r="E26" s="174">
        <v>8.57</v>
      </c>
      <c r="F26" s="174">
        <v>24.75</v>
      </c>
      <c r="G26" s="174">
        <v>50.017663999999996</v>
      </c>
      <c r="H26" s="174">
        <v>82.621300999999988</v>
      </c>
      <c r="I26" s="174">
        <v>111.5</v>
      </c>
      <c r="J26" s="174">
        <v>123.37</v>
      </c>
      <c r="K26" s="174">
        <v>132.99956500000002</v>
      </c>
      <c r="L26" s="174">
        <v>144.87455300000002</v>
      </c>
      <c r="M26" s="174">
        <v>153.21655300000003</v>
      </c>
      <c r="N26" s="174">
        <v>328.99442700000003</v>
      </c>
      <c r="O26" s="174">
        <v>441.10692700000004</v>
      </c>
      <c r="P26" s="174">
        <v>619.586547</v>
      </c>
      <c r="Q26" s="174">
        <v>941.10618299999999</v>
      </c>
      <c r="R26" s="174">
        <v>1624.0987719999998</v>
      </c>
      <c r="S26" s="174">
        <v>2801.8091079999999</v>
      </c>
      <c r="T26" s="174">
        <v>3773.813615</v>
      </c>
      <c r="U26" s="174">
        <v>4692.3594059999996</v>
      </c>
      <c r="V26" s="174">
        <v>5493.9082699999999</v>
      </c>
      <c r="W26" s="174">
        <v>6546.9565199999997</v>
      </c>
      <c r="X26" s="174">
        <v>8081.4465309999996</v>
      </c>
      <c r="Y26" s="174">
        <v>9857.6422309999998</v>
      </c>
      <c r="Z26" s="174">
        <v>12699.101413</v>
      </c>
      <c r="AA26" s="174">
        <v>19795.93</v>
      </c>
      <c r="AB26" s="174">
        <v>28557.16</v>
      </c>
      <c r="AC26" s="174">
        <v>35616.32</v>
      </c>
      <c r="AD26" s="174">
        <v>43669.73</v>
      </c>
      <c r="AE26" s="174">
        <v>46277</v>
      </c>
      <c r="AF26" s="175">
        <v>50357.762002000003</v>
      </c>
      <c r="AG26" s="170">
        <f>'2. Overall cum progress June 14'!M26</f>
        <v>59110.247201999999</v>
      </c>
    </row>
    <row r="27" spans="1:33" x14ac:dyDescent="0.3">
      <c r="A27" s="337"/>
      <c r="B27" s="182" t="s">
        <v>16</v>
      </c>
      <c r="C27" s="189">
        <v>0.71</v>
      </c>
      <c r="D27" s="183">
        <v>3.52</v>
      </c>
      <c r="E27" s="183">
        <v>8.57</v>
      </c>
      <c r="F27" s="183">
        <v>24.75</v>
      </c>
      <c r="G27" s="183">
        <v>50.747</v>
      </c>
      <c r="H27" s="183">
        <v>85.3</v>
      </c>
      <c r="I27" s="183">
        <v>115.4</v>
      </c>
      <c r="J27" s="183">
        <v>129.45000000000002</v>
      </c>
      <c r="K27" s="183">
        <v>141.09766500000001</v>
      </c>
      <c r="L27" s="183">
        <v>155.96065300000001</v>
      </c>
      <c r="M27" s="183">
        <v>169.87465300000002</v>
      </c>
      <c r="N27" s="183">
        <v>356.82982700000002</v>
      </c>
      <c r="O27" s="183">
        <v>493.06266700000003</v>
      </c>
      <c r="P27" s="183">
        <v>709.27201200000002</v>
      </c>
      <c r="Q27" s="183">
        <v>1112.5042619999999</v>
      </c>
      <c r="R27" s="183">
        <v>1881.8922659999998</v>
      </c>
      <c r="S27" s="183">
        <v>3195.4624519999998</v>
      </c>
      <c r="T27" s="183">
        <v>4367.6401249999999</v>
      </c>
      <c r="U27" s="183">
        <v>5530.1656759999996</v>
      </c>
      <c r="V27" s="183">
        <v>6623.5219799999995</v>
      </c>
      <c r="W27" s="183">
        <v>8111.6060809999999</v>
      </c>
      <c r="X27" s="183">
        <v>10223.322013000001</v>
      </c>
      <c r="Y27" s="183">
        <v>12821.598904</v>
      </c>
      <c r="Z27" s="183">
        <v>16898.326966000001</v>
      </c>
      <c r="AA27" s="183">
        <v>27858.23</v>
      </c>
      <c r="AB27" s="183">
        <v>40846.35</v>
      </c>
      <c r="AC27" s="183">
        <v>51908.72</v>
      </c>
      <c r="AD27" s="183">
        <v>62135.86</v>
      </c>
      <c r="AE27" s="183">
        <v>73123</v>
      </c>
      <c r="AF27" s="184">
        <v>85138.77771200001</v>
      </c>
      <c r="AG27" s="170">
        <f>'2. Overall cum progress June 14'!M27</f>
        <v>111666.71841199999</v>
      </c>
    </row>
    <row r="28" spans="1:33" x14ac:dyDescent="0.3">
      <c r="A28" s="337" t="s">
        <v>251</v>
      </c>
      <c r="B28" s="187" t="s">
        <v>252</v>
      </c>
      <c r="C28" s="193">
        <v>0</v>
      </c>
      <c r="D28" s="191">
        <v>0</v>
      </c>
      <c r="E28" s="191">
        <v>0</v>
      </c>
      <c r="F28" s="191">
        <v>0</v>
      </c>
      <c r="G28" s="191">
        <v>0</v>
      </c>
      <c r="H28" s="191">
        <v>0</v>
      </c>
      <c r="I28" s="191">
        <v>0</v>
      </c>
      <c r="J28" s="191">
        <v>0</v>
      </c>
      <c r="K28" s="191">
        <v>0</v>
      </c>
      <c r="L28" s="191">
        <v>0</v>
      </c>
      <c r="M28" s="191">
        <v>0</v>
      </c>
      <c r="N28" s="191">
        <v>0</v>
      </c>
      <c r="O28" s="191">
        <v>0</v>
      </c>
      <c r="P28" s="191">
        <v>0</v>
      </c>
      <c r="Q28" s="191">
        <v>0</v>
      </c>
      <c r="R28" s="191">
        <v>0</v>
      </c>
      <c r="S28" s="191">
        <v>0</v>
      </c>
      <c r="T28" s="191">
        <v>0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764432</v>
      </c>
      <c r="AB28" s="191">
        <v>1058568</v>
      </c>
      <c r="AC28" s="191">
        <v>1349181</v>
      </c>
      <c r="AD28" s="191">
        <v>1680779.44</v>
      </c>
      <c r="AE28" s="191">
        <v>2068408</v>
      </c>
      <c r="AF28" s="175">
        <v>2520327.44</v>
      </c>
      <c r="AG28" s="170">
        <f>'2. Overall cum progress June 14'!M28</f>
        <v>3421743</v>
      </c>
    </row>
    <row r="29" spans="1:33" x14ac:dyDescent="0.3">
      <c r="A29" s="337"/>
      <c r="B29" s="187" t="s">
        <v>253</v>
      </c>
      <c r="C29" s="193">
        <v>0</v>
      </c>
      <c r="D29" s="191">
        <v>0</v>
      </c>
      <c r="E29" s="191"/>
      <c r="F29" s="191">
        <v>0</v>
      </c>
      <c r="G29" s="191">
        <v>0</v>
      </c>
      <c r="H29" s="191">
        <v>0</v>
      </c>
      <c r="I29" s="191">
        <v>0</v>
      </c>
      <c r="J29" s="191">
        <v>0</v>
      </c>
      <c r="K29" s="191">
        <v>0</v>
      </c>
      <c r="L29" s="191">
        <v>0</v>
      </c>
      <c r="M29" s="191">
        <v>0</v>
      </c>
      <c r="N29" s="191">
        <v>0</v>
      </c>
      <c r="O29" s="191">
        <v>0</v>
      </c>
      <c r="P29" s="191">
        <v>0</v>
      </c>
      <c r="Q29" s="191">
        <v>0</v>
      </c>
      <c r="R29" s="191">
        <v>0</v>
      </c>
      <c r="S29" s="191">
        <v>0</v>
      </c>
      <c r="T29" s="191">
        <v>0</v>
      </c>
      <c r="U29" s="191">
        <v>0</v>
      </c>
      <c r="V29" s="191">
        <v>0</v>
      </c>
      <c r="W29" s="191">
        <v>0</v>
      </c>
      <c r="X29" s="191">
        <v>0</v>
      </c>
      <c r="Y29" s="191">
        <v>0</v>
      </c>
      <c r="Z29" s="191">
        <v>0</v>
      </c>
      <c r="AA29" s="191">
        <v>1930568</v>
      </c>
      <c r="AB29" s="191">
        <v>2457015</v>
      </c>
      <c r="AC29" s="191">
        <v>2894800</v>
      </c>
      <c r="AD29" s="191">
        <v>3374000.56</v>
      </c>
      <c r="AE29" s="191">
        <v>3403007</v>
      </c>
      <c r="AF29" s="175">
        <v>3593574.56</v>
      </c>
      <c r="AG29" s="170">
        <f>'2. Overall cum progress June 14'!M29</f>
        <v>3959857</v>
      </c>
    </row>
    <row r="30" spans="1:33" x14ac:dyDescent="0.3">
      <c r="A30" s="337"/>
      <c r="B30" s="182" t="s">
        <v>16</v>
      </c>
      <c r="C30" s="194">
        <v>0</v>
      </c>
      <c r="D30" s="183">
        <v>0</v>
      </c>
      <c r="E30" s="183">
        <v>0</v>
      </c>
      <c r="F30" s="183">
        <v>0</v>
      </c>
      <c r="G30" s="183">
        <v>0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183">
        <v>0</v>
      </c>
      <c r="R30" s="183">
        <v>0</v>
      </c>
      <c r="S30" s="183">
        <v>0</v>
      </c>
      <c r="T30" s="183">
        <v>0</v>
      </c>
      <c r="U30" s="183">
        <v>0</v>
      </c>
      <c r="V30" s="183">
        <v>0</v>
      </c>
      <c r="W30" s="183">
        <v>0</v>
      </c>
      <c r="X30" s="183">
        <v>0</v>
      </c>
      <c r="Y30" s="183">
        <v>0</v>
      </c>
      <c r="Z30" s="183">
        <v>0</v>
      </c>
      <c r="AA30" s="183">
        <v>2695000</v>
      </c>
      <c r="AB30" s="183">
        <v>3515583</v>
      </c>
      <c r="AC30" s="195" t="s">
        <v>254</v>
      </c>
      <c r="AD30" s="183">
        <v>4954780</v>
      </c>
      <c r="AE30" s="183">
        <v>5471415</v>
      </c>
      <c r="AF30" s="184">
        <v>6113902</v>
      </c>
      <c r="AG30" s="170">
        <f>'2. Overall cum progress June 14'!M30</f>
        <v>7381600</v>
      </c>
    </row>
    <row r="31" spans="1:33" x14ac:dyDescent="0.3">
      <c r="A31" s="336" t="s">
        <v>303</v>
      </c>
      <c r="B31" s="180" t="s">
        <v>17</v>
      </c>
      <c r="C31" s="174">
        <v>0</v>
      </c>
      <c r="D31" s="174">
        <v>0</v>
      </c>
      <c r="E31" s="174">
        <v>0</v>
      </c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4">
        <v>0</v>
      </c>
      <c r="S31" s="174">
        <v>0</v>
      </c>
      <c r="T31" s="174">
        <v>0</v>
      </c>
      <c r="U31" s="174">
        <v>0</v>
      </c>
      <c r="V31" s="174">
        <v>0</v>
      </c>
      <c r="W31" s="174">
        <v>0</v>
      </c>
      <c r="X31" s="174">
        <v>0</v>
      </c>
      <c r="Y31" s="174">
        <v>0</v>
      </c>
      <c r="Z31" s="174">
        <v>42078</v>
      </c>
      <c r="AA31" s="174">
        <v>121835</v>
      </c>
      <c r="AB31" s="174">
        <v>326617</v>
      </c>
      <c r="AC31" s="174">
        <v>1057470</v>
      </c>
      <c r="AD31" s="174">
        <v>1592331</v>
      </c>
      <c r="AE31" s="174">
        <v>2068408</v>
      </c>
      <c r="AF31" s="175">
        <v>971319.44</v>
      </c>
      <c r="AG31" s="170">
        <f>'2. Overall cum progress June 14'!M31</f>
        <v>1323648</v>
      </c>
    </row>
    <row r="32" spans="1:33" x14ac:dyDescent="0.3">
      <c r="A32" s="336"/>
      <c r="B32" s="181" t="s">
        <v>18</v>
      </c>
      <c r="C32" s="174">
        <v>0</v>
      </c>
      <c r="D32" s="174">
        <v>0</v>
      </c>
      <c r="E32" s="174">
        <v>0</v>
      </c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174">
        <v>0</v>
      </c>
      <c r="L32" s="174">
        <v>0</v>
      </c>
      <c r="M32" s="174">
        <v>0</v>
      </c>
      <c r="N32" s="174">
        <v>0</v>
      </c>
      <c r="O32" s="174">
        <v>0</v>
      </c>
      <c r="P32" s="174">
        <v>0</v>
      </c>
      <c r="Q32" s="174">
        <v>0</v>
      </c>
      <c r="R32" s="174">
        <v>0</v>
      </c>
      <c r="S32" s="174">
        <v>0</v>
      </c>
      <c r="T32" s="174">
        <v>0</v>
      </c>
      <c r="U32" s="174">
        <v>0</v>
      </c>
      <c r="V32" s="174">
        <v>0</v>
      </c>
      <c r="W32" s="174">
        <v>0</v>
      </c>
      <c r="X32" s="174">
        <v>0</v>
      </c>
      <c r="Y32" s="174">
        <v>0</v>
      </c>
      <c r="Z32" s="174">
        <v>121409</v>
      </c>
      <c r="AA32" s="174">
        <v>344939</v>
      </c>
      <c r="AB32" s="174">
        <v>1016890</v>
      </c>
      <c r="AC32" s="174">
        <v>1629375</v>
      </c>
      <c r="AD32" s="174">
        <v>2450815</v>
      </c>
      <c r="AE32" s="174">
        <v>3403007</v>
      </c>
      <c r="AF32" s="175">
        <v>2529821.56</v>
      </c>
      <c r="AG32" s="170">
        <f>'2. Overall cum progress June 14'!M32</f>
        <v>2749450</v>
      </c>
    </row>
    <row r="33" spans="1:33" x14ac:dyDescent="0.3">
      <c r="A33" s="336"/>
      <c r="B33" s="182" t="s">
        <v>16</v>
      </c>
      <c r="C33" s="183">
        <v>0</v>
      </c>
      <c r="D33" s="183">
        <v>0</v>
      </c>
      <c r="E33" s="183">
        <v>0</v>
      </c>
      <c r="F33" s="183">
        <v>0</v>
      </c>
      <c r="G33" s="183">
        <v>0</v>
      </c>
      <c r="H33" s="183">
        <v>0</v>
      </c>
      <c r="I33" s="183">
        <v>0</v>
      </c>
      <c r="J33" s="183">
        <v>0</v>
      </c>
      <c r="K33" s="183">
        <v>0</v>
      </c>
      <c r="L33" s="183">
        <v>0</v>
      </c>
      <c r="M33" s="183">
        <v>0</v>
      </c>
      <c r="N33" s="183">
        <v>0</v>
      </c>
      <c r="O33" s="183">
        <v>0</v>
      </c>
      <c r="P33" s="183">
        <v>0</v>
      </c>
      <c r="Q33" s="183">
        <v>0</v>
      </c>
      <c r="R33" s="183">
        <v>0</v>
      </c>
      <c r="S33" s="183">
        <v>0</v>
      </c>
      <c r="T33" s="183">
        <v>0</v>
      </c>
      <c r="U33" s="183">
        <v>0</v>
      </c>
      <c r="V33" s="183">
        <v>0</v>
      </c>
      <c r="W33" s="183">
        <v>0</v>
      </c>
      <c r="X33" s="183">
        <v>0</v>
      </c>
      <c r="Y33" s="183">
        <v>0</v>
      </c>
      <c r="Z33" s="183">
        <v>163487</v>
      </c>
      <c r="AA33" s="183">
        <v>466774</v>
      </c>
      <c r="AB33" s="183">
        <v>1343507</v>
      </c>
      <c r="AC33" s="183">
        <v>2686845</v>
      </c>
      <c r="AD33" s="183">
        <v>4043146</v>
      </c>
      <c r="AE33" s="183">
        <v>5471415</v>
      </c>
      <c r="AF33" s="184">
        <v>3501141</v>
      </c>
      <c r="AG33" s="170">
        <f>'2. Overall cum progress June 14'!M33</f>
        <v>4073098</v>
      </c>
    </row>
    <row r="34" spans="1:33" x14ac:dyDescent="0.3">
      <c r="A34" s="339" t="s">
        <v>304</v>
      </c>
      <c r="B34" s="339"/>
      <c r="C34" s="196">
        <v>80</v>
      </c>
      <c r="D34" s="174">
        <v>229</v>
      </c>
      <c r="E34" s="174">
        <v>328</v>
      </c>
      <c r="F34" s="174">
        <v>421</v>
      </c>
      <c r="G34" s="174">
        <v>585</v>
      </c>
      <c r="H34" s="174">
        <v>770</v>
      </c>
      <c r="I34" s="174">
        <v>912</v>
      </c>
      <c r="J34" s="174">
        <v>1077</v>
      </c>
      <c r="K34" s="174">
        <v>1244</v>
      </c>
      <c r="L34" s="174">
        <v>1387</v>
      </c>
      <c r="M34" s="174">
        <v>1499</v>
      </c>
      <c r="N34" s="174">
        <v>1623</v>
      </c>
      <c r="O34" s="174">
        <v>1830</v>
      </c>
      <c r="P34" s="174">
        <v>2376</v>
      </c>
      <c r="Q34" s="174">
        <v>2882</v>
      </c>
      <c r="R34" s="174">
        <v>3612</v>
      </c>
      <c r="S34" s="174">
        <v>6078</v>
      </c>
      <c r="T34" s="174">
        <v>9630</v>
      </c>
      <c r="U34" s="174">
        <v>11998</v>
      </c>
      <c r="V34" s="174">
        <v>18053</v>
      </c>
      <c r="W34" s="174">
        <v>29325</v>
      </c>
      <c r="X34" s="174">
        <v>43505</v>
      </c>
      <c r="Y34" s="174">
        <v>55524</v>
      </c>
      <c r="Z34" s="174">
        <v>64889</v>
      </c>
      <c r="AA34" s="174">
        <v>74731</v>
      </c>
      <c r="AB34" s="174">
        <v>79726</v>
      </c>
      <c r="AC34" s="174">
        <v>84601</v>
      </c>
      <c r="AD34" s="174">
        <v>92686</v>
      </c>
      <c r="AE34" s="174">
        <v>130829</v>
      </c>
      <c r="AF34" s="175">
        <v>140993</v>
      </c>
      <c r="AG34" s="170">
        <f>'2. Overall cum progress June 14'!M38</f>
        <v>150539</v>
      </c>
    </row>
    <row r="35" spans="1:33" x14ac:dyDescent="0.3">
      <c r="A35" s="339" t="s">
        <v>255</v>
      </c>
      <c r="B35" s="339"/>
      <c r="C35" s="186">
        <v>9300</v>
      </c>
      <c r="D35" s="174">
        <v>22980</v>
      </c>
      <c r="E35" s="174">
        <v>27838</v>
      </c>
      <c r="F35" s="174">
        <v>32566</v>
      </c>
      <c r="G35" s="174">
        <v>41677</v>
      </c>
      <c r="H35" s="174">
        <v>49725</v>
      </c>
      <c r="I35" s="174">
        <v>53760</v>
      </c>
      <c r="J35" s="174">
        <v>63440</v>
      </c>
      <c r="K35" s="174">
        <v>70315</v>
      </c>
      <c r="L35" s="174">
        <v>81782</v>
      </c>
      <c r="M35" s="174">
        <v>88403</v>
      </c>
      <c r="N35" s="174">
        <v>96635</v>
      </c>
      <c r="O35" s="174">
        <v>112501</v>
      </c>
      <c r="P35" s="174">
        <v>163705</v>
      </c>
      <c r="Q35" s="174">
        <v>219039</v>
      </c>
      <c r="R35" s="174">
        <v>303201</v>
      </c>
      <c r="S35" s="174">
        <v>380257</v>
      </c>
      <c r="T35" s="174">
        <v>432105</v>
      </c>
      <c r="U35" s="174">
        <v>529762</v>
      </c>
      <c r="V35" s="174">
        <v>924178</v>
      </c>
      <c r="W35" s="174">
        <v>1094475</v>
      </c>
      <c r="X35" s="174">
        <v>1477441</v>
      </c>
      <c r="Y35" s="174">
        <v>1697088</v>
      </c>
      <c r="Z35" s="174">
        <v>1972833</v>
      </c>
      <c r="AA35" s="174">
        <v>2089861</v>
      </c>
      <c r="AB35" s="174">
        <v>2716561</v>
      </c>
      <c r="AC35" s="174">
        <v>2963639</v>
      </c>
      <c r="AD35" s="174">
        <v>3566645</v>
      </c>
      <c r="AE35" s="174">
        <v>4181600</v>
      </c>
      <c r="AF35" s="175">
        <v>4258376</v>
      </c>
      <c r="AG35" s="170">
        <f>'2. Overall cum progress June 14'!M40</f>
        <v>4640701</v>
      </c>
    </row>
    <row r="36" spans="1:33" x14ac:dyDescent="0.3">
      <c r="A36" s="340" t="s">
        <v>305</v>
      </c>
      <c r="B36" s="340"/>
      <c r="C36" s="197">
        <v>9.5</v>
      </c>
      <c r="D36" s="174">
        <v>28.82</v>
      </c>
      <c r="E36" s="174">
        <v>47.5</v>
      </c>
      <c r="F36" s="174">
        <v>65.12</v>
      </c>
      <c r="G36" s="174">
        <v>90.87</v>
      </c>
      <c r="H36" s="174">
        <v>124.28</v>
      </c>
      <c r="I36" s="174">
        <v>151</v>
      </c>
      <c r="J36" s="174">
        <v>189.054</v>
      </c>
      <c r="K36" s="174">
        <v>223.26499999999999</v>
      </c>
      <c r="L36" s="174">
        <v>252.05999999999997</v>
      </c>
      <c r="M36" s="174">
        <v>278.82417199999998</v>
      </c>
      <c r="N36" s="174">
        <v>306.35615199999995</v>
      </c>
      <c r="O36" s="174">
        <v>369.96915199999995</v>
      </c>
      <c r="P36" s="174">
        <v>462.86128099999996</v>
      </c>
      <c r="Q36" s="174">
        <v>610.54608699999994</v>
      </c>
      <c r="R36" s="174">
        <v>822.72373299999992</v>
      </c>
      <c r="S36" s="174">
        <v>1052.7613690000001</v>
      </c>
      <c r="T36" s="174">
        <v>1328.491342</v>
      </c>
      <c r="U36" s="174">
        <v>1636.4943720000001</v>
      </c>
      <c r="V36" s="174">
        <v>2310.2607330000001</v>
      </c>
      <c r="W36" s="174">
        <v>2775.4692789999999</v>
      </c>
      <c r="X36" s="174">
        <v>3825.75</v>
      </c>
      <c r="Y36" s="174">
        <v>4412.9717760000003</v>
      </c>
      <c r="Z36" s="174">
        <v>5698.9876720000002</v>
      </c>
      <c r="AA36" s="174">
        <v>7761.45</v>
      </c>
      <c r="AB36" s="174">
        <v>9194.25</v>
      </c>
      <c r="AC36" s="174">
        <v>10955.06</v>
      </c>
      <c r="AD36" s="174">
        <v>12171.84</v>
      </c>
      <c r="AE36" s="174">
        <v>16365</v>
      </c>
      <c r="AF36" s="175">
        <v>17467.013999999999</v>
      </c>
      <c r="AG36" s="170">
        <f>'2. Overall cum progress June 14'!M42</f>
        <v>20031.117837000002</v>
      </c>
    </row>
    <row r="37" spans="1:33" x14ac:dyDescent="0.3">
      <c r="A37" s="338" t="s">
        <v>23</v>
      </c>
      <c r="B37" s="338" t="s">
        <v>24</v>
      </c>
      <c r="C37" s="198">
        <v>0</v>
      </c>
      <c r="D37" s="174">
        <v>0</v>
      </c>
      <c r="E37" s="174">
        <v>0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4">
        <v>28</v>
      </c>
      <c r="N37" s="174">
        <v>63</v>
      </c>
      <c r="O37" s="174">
        <v>63</v>
      </c>
      <c r="P37" s="174">
        <v>90</v>
      </c>
      <c r="Q37" s="174">
        <v>151</v>
      </c>
      <c r="R37" s="174">
        <v>248</v>
      </c>
      <c r="S37" s="174">
        <v>280</v>
      </c>
      <c r="T37" s="174">
        <v>358</v>
      </c>
      <c r="U37" s="174">
        <v>368</v>
      </c>
      <c r="V37" s="174">
        <v>375</v>
      </c>
      <c r="W37" s="174">
        <v>387</v>
      </c>
      <c r="X37" s="174">
        <v>616</v>
      </c>
      <c r="Y37" s="174">
        <v>1414</v>
      </c>
      <c r="Z37" s="174">
        <v>1507</v>
      </c>
      <c r="AA37" s="174">
        <v>1674</v>
      </c>
      <c r="AB37" s="174">
        <v>1475</v>
      </c>
      <c r="AC37" s="174">
        <v>1446</v>
      </c>
      <c r="AD37" s="174">
        <v>1902</v>
      </c>
      <c r="AE37" s="174">
        <v>1895</v>
      </c>
      <c r="AF37" s="175">
        <v>2312</v>
      </c>
      <c r="AG37" s="170">
        <f>'2. Overall cum progress June 14'!M43</f>
        <v>2327</v>
      </c>
    </row>
    <row r="38" spans="1:33" x14ac:dyDescent="0.3">
      <c r="A38" s="336" t="s">
        <v>25</v>
      </c>
      <c r="B38" s="180" t="s">
        <v>24</v>
      </c>
      <c r="C38" s="174">
        <v>0</v>
      </c>
      <c r="D38" s="174">
        <v>0</v>
      </c>
      <c r="E38" s="174">
        <v>0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4">
        <v>571</v>
      </c>
      <c r="N38" s="174">
        <v>1114</v>
      </c>
      <c r="O38" s="174">
        <v>1114</v>
      </c>
      <c r="P38" s="174">
        <v>1528</v>
      </c>
      <c r="Q38" s="174">
        <v>2371</v>
      </c>
      <c r="R38" s="174">
        <v>4698</v>
      </c>
      <c r="S38" s="174">
        <v>5433</v>
      </c>
      <c r="T38" s="174">
        <v>7029</v>
      </c>
      <c r="U38" s="174">
        <v>10172</v>
      </c>
      <c r="V38" s="174">
        <v>12667</v>
      </c>
      <c r="W38" s="174">
        <v>15676</v>
      </c>
      <c r="X38" s="174">
        <v>22391</v>
      </c>
      <c r="Y38" s="174">
        <v>30193</v>
      </c>
      <c r="Z38" s="174">
        <v>32322</v>
      </c>
      <c r="AA38" s="174">
        <v>26228</v>
      </c>
      <c r="AB38" s="174">
        <v>27655</v>
      </c>
      <c r="AC38" s="174">
        <v>22516</v>
      </c>
      <c r="AD38" s="174">
        <v>23533</v>
      </c>
      <c r="AE38" s="174">
        <v>23867</v>
      </c>
      <c r="AF38" s="175">
        <v>42218</v>
      </c>
      <c r="AG38" s="170">
        <f>'2. Overall cum progress June 14'!M44</f>
        <v>41959</v>
      </c>
    </row>
    <row r="39" spans="1:33" x14ac:dyDescent="0.3">
      <c r="A39" s="336"/>
      <c r="B39" s="181" t="s">
        <v>26</v>
      </c>
      <c r="C39" s="174">
        <v>0</v>
      </c>
      <c r="D39" s="174">
        <v>0</v>
      </c>
      <c r="E39" s="174">
        <v>0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4">
        <v>277</v>
      </c>
      <c r="N39" s="174">
        <v>729</v>
      </c>
      <c r="O39" s="174">
        <v>729</v>
      </c>
      <c r="P39" s="174">
        <v>883</v>
      </c>
      <c r="Q39" s="174">
        <v>1942</v>
      </c>
      <c r="R39" s="174">
        <v>4309</v>
      </c>
      <c r="S39" s="174">
        <v>4972</v>
      </c>
      <c r="T39" s="174">
        <v>8636</v>
      </c>
      <c r="U39" s="174">
        <v>9094</v>
      </c>
      <c r="V39" s="174">
        <v>10382</v>
      </c>
      <c r="W39" s="174">
        <v>11667</v>
      </c>
      <c r="X39" s="174">
        <v>17327</v>
      </c>
      <c r="Y39" s="174">
        <v>17608</v>
      </c>
      <c r="Z39" s="174">
        <v>17845</v>
      </c>
      <c r="AA39" s="174">
        <v>27630</v>
      </c>
      <c r="AB39" s="174">
        <v>29479</v>
      </c>
      <c r="AC39" s="174">
        <v>26861</v>
      </c>
      <c r="AD39" s="174">
        <v>28547</v>
      </c>
      <c r="AE39" s="174">
        <v>27035</v>
      </c>
      <c r="AF39" s="175">
        <v>46426</v>
      </c>
      <c r="AG39" s="170">
        <f>'2. Overall cum progress June 14'!M45</f>
        <v>49291</v>
      </c>
    </row>
    <row r="40" spans="1:33" x14ac:dyDescent="0.3">
      <c r="A40" s="336"/>
      <c r="B40" s="182" t="s">
        <v>16</v>
      </c>
      <c r="C40" s="183">
        <v>0</v>
      </c>
      <c r="D40" s="183">
        <v>0</v>
      </c>
      <c r="E40" s="183">
        <v>0</v>
      </c>
      <c r="F40" s="183">
        <v>0</v>
      </c>
      <c r="G40" s="183">
        <v>0</v>
      </c>
      <c r="H40" s="183">
        <v>0</v>
      </c>
      <c r="I40" s="183">
        <v>0</v>
      </c>
      <c r="J40" s="183">
        <v>0</v>
      </c>
      <c r="K40" s="183">
        <v>0</v>
      </c>
      <c r="L40" s="183">
        <v>0</v>
      </c>
      <c r="M40" s="183">
        <v>848</v>
      </c>
      <c r="N40" s="183">
        <v>1843</v>
      </c>
      <c r="O40" s="183">
        <v>1843</v>
      </c>
      <c r="P40" s="183">
        <v>2411</v>
      </c>
      <c r="Q40" s="183">
        <v>4313</v>
      </c>
      <c r="R40" s="183">
        <v>9007</v>
      </c>
      <c r="S40" s="183">
        <v>10405</v>
      </c>
      <c r="T40" s="183">
        <v>15665</v>
      </c>
      <c r="U40" s="183">
        <v>19266</v>
      </c>
      <c r="V40" s="183">
        <v>23049</v>
      </c>
      <c r="W40" s="183">
        <v>27343</v>
      </c>
      <c r="X40" s="183">
        <v>39718</v>
      </c>
      <c r="Y40" s="183">
        <v>47801</v>
      </c>
      <c r="Z40" s="183">
        <v>50167</v>
      </c>
      <c r="AA40" s="183">
        <v>53858</v>
      </c>
      <c r="AB40" s="183">
        <v>57134</v>
      </c>
      <c r="AC40" s="183">
        <v>49377</v>
      </c>
      <c r="AD40" s="183">
        <v>52080</v>
      </c>
      <c r="AE40" s="183">
        <v>50902</v>
      </c>
      <c r="AF40" s="184">
        <v>88644</v>
      </c>
      <c r="AG40" s="170">
        <f>'2. Overall cum progress June 14'!M46</f>
        <v>91250</v>
      </c>
    </row>
    <row r="41" spans="1:33" x14ac:dyDescent="0.3">
      <c r="A41" s="336" t="s">
        <v>292</v>
      </c>
      <c r="B41" s="180" t="s">
        <v>17</v>
      </c>
      <c r="C41" s="174">
        <v>0</v>
      </c>
      <c r="D41" s="174">
        <v>0</v>
      </c>
      <c r="E41" s="174">
        <v>0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4">
        <v>0</v>
      </c>
      <c r="N41" s="174">
        <v>37</v>
      </c>
      <c r="O41" s="174">
        <v>37</v>
      </c>
      <c r="P41" s="174">
        <v>45</v>
      </c>
      <c r="Q41" s="174">
        <v>78</v>
      </c>
      <c r="R41" s="174">
        <v>120</v>
      </c>
      <c r="S41" s="174">
        <v>245</v>
      </c>
      <c r="T41" s="174">
        <v>367</v>
      </c>
      <c r="U41" s="174">
        <v>594</v>
      </c>
      <c r="V41" s="174">
        <v>652</v>
      </c>
      <c r="W41" s="174">
        <v>1220</v>
      </c>
      <c r="X41" s="174">
        <v>1666</v>
      </c>
      <c r="Y41" s="174">
        <v>2312</v>
      </c>
      <c r="Z41" s="174">
        <v>2546</v>
      </c>
      <c r="AA41" s="174">
        <v>3658</v>
      </c>
      <c r="AB41" s="174">
        <v>2116</v>
      </c>
      <c r="AC41" s="174">
        <v>19842</v>
      </c>
      <c r="AD41" s="174">
        <v>19842</v>
      </c>
      <c r="AE41" s="174">
        <v>23001</v>
      </c>
      <c r="AF41" s="175">
        <v>22943</v>
      </c>
      <c r="AG41" s="170">
        <f>'2. Overall cum progress June 14'!M47</f>
        <v>26877</v>
      </c>
    </row>
    <row r="42" spans="1:33" x14ac:dyDescent="0.3">
      <c r="A42" s="336"/>
      <c r="B42" s="181" t="s">
        <v>18</v>
      </c>
      <c r="C42" s="174">
        <v>0</v>
      </c>
      <c r="D42" s="174">
        <v>0</v>
      </c>
      <c r="E42" s="174">
        <v>0</v>
      </c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4">
        <v>2</v>
      </c>
      <c r="N42" s="174">
        <v>26</v>
      </c>
      <c r="O42" s="174">
        <v>26</v>
      </c>
      <c r="P42" s="174">
        <v>47</v>
      </c>
      <c r="Q42" s="174">
        <v>78</v>
      </c>
      <c r="R42" s="174">
        <v>163</v>
      </c>
      <c r="S42" s="174">
        <v>292</v>
      </c>
      <c r="T42" s="174">
        <v>389</v>
      </c>
      <c r="U42" s="174">
        <v>563</v>
      </c>
      <c r="V42" s="174">
        <v>621</v>
      </c>
      <c r="W42" s="174">
        <v>690</v>
      </c>
      <c r="X42" s="174">
        <v>881</v>
      </c>
      <c r="Y42" s="174">
        <v>1141</v>
      </c>
      <c r="Z42" s="174">
        <v>1197</v>
      </c>
      <c r="AA42" s="174">
        <v>1796</v>
      </c>
      <c r="AB42" s="174">
        <v>704</v>
      </c>
      <c r="AC42" s="174">
        <v>2076</v>
      </c>
      <c r="AD42" s="174">
        <v>2076</v>
      </c>
      <c r="AE42" s="174">
        <v>2532</v>
      </c>
      <c r="AF42" s="175">
        <v>2532</v>
      </c>
      <c r="AG42" s="170">
        <f>'2. Overall cum progress June 14'!M48</f>
        <v>3216</v>
      </c>
    </row>
    <row r="43" spans="1:33" x14ac:dyDescent="0.3">
      <c r="A43" s="336"/>
      <c r="B43" s="182" t="s">
        <v>16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2</v>
      </c>
      <c r="N43" s="183">
        <v>63</v>
      </c>
      <c r="O43" s="183">
        <v>63</v>
      </c>
      <c r="P43" s="183">
        <v>92</v>
      </c>
      <c r="Q43" s="183">
        <v>156</v>
      </c>
      <c r="R43" s="183">
        <v>283</v>
      </c>
      <c r="S43" s="183">
        <v>537</v>
      </c>
      <c r="T43" s="183">
        <v>756</v>
      </c>
      <c r="U43" s="183">
        <v>1157</v>
      </c>
      <c r="V43" s="183">
        <v>1273</v>
      </c>
      <c r="W43" s="183">
        <v>1910</v>
      </c>
      <c r="X43" s="183">
        <v>2547</v>
      </c>
      <c r="Y43" s="183">
        <v>3453</v>
      </c>
      <c r="Z43" s="183">
        <v>3743</v>
      </c>
      <c r="AA43" s="183">
        <v>5454</v>
      </c>
      <c r="AB43" s="183">
        <v>2820</v>
      </c>
      <c r="AC43" s="183">
        <v>21918</v>
      </c>
      <c r="AD43" s="183">
        <v>21918</v>
      </c>
      <c r="AE43" s="183">
        <v>25533</v>
      </c>
      <c r="AF43" s="184">
        <v>25475</v>
      </c>
      <c r="AG43" s="170">
        <f>'2. Overall cum progress June 14'!M49</f>
        <v>30093</v>
      </c>
    </row>
    <row r="44" spans="1:33" x14ac:dyDescent="0.3">
      <c r="A44" s="336" t="s">
        <v>293</v>
      </c>
      <c r="B44" s="180" t="s">
        <v>17</v>
      </c>
      <c r="C44" s="174">
        <v>0</v>
      </c>
      <c r="D44" s="174">
        <v>0</v>
      </c>
      <c r="E44" s="174">
        <v>0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4">
        <v>8</v>
      </c>
      <c r="N44" s="174">
        <v>101</v>
      </c>
      <c r="O44" s="174">
        <v>101</v>
      </c>
      <c r="P44" s="174">
        <v>230</v>
      </c>
      <c r="Q44" s="174">
        <v>293</v>
      </c>
      <c r="R44" s="174">
        <v>392</v>
      </c>
      <c r="S44" s="174">
        <v>882</v>
      </c>
      <c r="T44" s="174">
        <v>2696</v>
      </c>
      <c r="U44" s="174">
        <v>7123</v>
      </c>
      <c r="V44" s="174">
        <v>8119</v>
      </c>
      <c r="W44" s="174">
        <v>9393</v>
      </c>
      <c r="X44" s="174">
        <v>10091</v>
      </c>
      <c r="Y44" s="174">
        <v>11013</v>
      </c>
      <c r="Z44" s="174">
        <v>11184</v>
      </c>
      <c r="AA44" s="174">
        <v>12660</v>
      </c>
      <c r="AB44" s="174">
        <v>12908</v>
      </c>
      <c r="AC44" s="174">
        <v>13543</v>
      </c>
      <c r="AD44" s="174">
        <v>14610</v>
      </c>
      <c r="AE44" s="174">
        <v>19006</v>
      </c>
      <c r="AF44" s="175">
        <v>21132</v>
      </c>
      <c r="AG44" s="170">
        <f>'2. Overall cum progress June 14'!M50</f>
        <v>21772</v>
      </c>
    </row>
    <row r="45" spans="1:33" x14ac:dyDescent="0.3">
      <c r="A45" s="336"/>
      <c r="B45" s="181" t="s">
        <v>18</v>
      </c>
      <c r="C45" s="174">
        <v>0</v>
      </c>
      <c r="D45" s="174">
        <v>0</v>
      </c>
      <c r="E45" s="174">
        <v>0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4">
        <v>0</v>
      </c>
      <c r="N45" s="174">
        <v>0</v>
      </c>
      <c r="O45" s="174">
        <v>0</v>
      </c>
      <c r="P45" s="174">
        <v>0</v>
      </c>
      <c r="Q45" s="174">
        <v>0</v>
      </c>
      <c r="R45" s="174">
        <v>0</v>
      </c>
      <c r="S45" s="174">
        <v>22</v>
      </c>
      <c r="T45" s="174">
        <v>287</v>
      </c>
      <c r="U45" s="174">
        <v>313</v>
      </c>
      <c r="V45" s="174">
        <v>564</v>
      </c>
      <c r="W45" s="174">
        <v>805</v>
      </c>
      <c r="X45" s="174">
        <v>1747</v>
      </c>
      <c r="Y45" s="174">
        <v>1768</v>
      </c>
      <c r="Z45" s="174">
        <v>1768</v>
      </c>
      <c r="AA45" s="174">
        <v>2342</v>
      </c>
      <c r="AB45" s="174">
        <v>2342</v>
      </c>
      <c r="AC45" s="174">
        <v>2342</v>
      </c>
      <c r="AD45" s="174">
        <v>2342</v>
      </c>
      <c r="AE45" s="174">
        <v>2912</v>
      </c>
      <c r="AF45" s="175">
        <v>2912</v>
      </c>
      <c r="AG45" s="170">
        <f>'2. Overall cum progress June 14'!M51</f>
        <v>2912</v>
      </c>
    </row>
    <row r="46" spans="1:33" x14ac:dyDescent="0.3">
      <c r="A46" s="336"/>
      <c r="B46" s="182" t="s">
        <v>16</v>
      </c>
      <c r="C46" s="183">
        <v>0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8</v>
      </c>
      <c r="N46" s="183">
        <v>101</v>
      </c>
      <c r="O46" s="183">
        <v>101</v>
      </c>
      <c r="P46" s="183">
        <v>230</v>
      </c>
      <c r="Q46" s="183">
        <v>293</v>
      </c>
      <c r="R46" s="183">
        <v>392</v>
      </c>
      <c r="S46" s="183">
        <v>904</v>
      </c>
      <c r="T46" s="183">
        <v>2983</v>
      </c>
      <c r="U46" s="183">
        <v>7436</v>
      </c>
      <c r="V46" s="183">
        <v>8683</v>
      </c>
      <c r="W46" s="183">
        <v>10198</v>
      </c>
      <c r="X46" s="183">
        <v>11838</v>
      </c>
      <c r="Y46" s="183">
        <v>12781</v>
      </c>
      <c r="Z46" s="183">
        <v>12952</v>
      </c>
      <c r="AA46" s="183">
        <v>15002</v>
      </c>
      <c r="AB46" s="183">
        <v>15250</v>
      </c>
      <c r="AC46" s="183">
        <v>15885</v>
      </c>
      <c r="AD46" s="183">
        <v>17084</v>
      </c>
      <c r="AE46" s="183">
        <v>21918</v>
      </c>
      <c r="AF46" s="184">
        <v>24044</v>
      </c>
      <c r="AG46" s="170">
        <f>'2. Overall cum progress June 14'!M52</f>
        <v>24684</v>
      </c>
    </row>
  </sheetData>
  <mergeCells count="16"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  <mergeCell ref="A21:A24"/>
    <mergeCell ref="A3:B3"/>
    <mergeCell ref="A8:A11"/>
    <mergeCell ref="A12:A14"/>
    <mergeCell ref="A15:A17"/>
    <mergeCell ref="A18:A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selection sqref="A1:B1"/>
    </sheetView>
  </sheetViews>
  <sheetFormatPr defaultColWidth="9.109375" defaultRowHeight="14.4" x14ac:dyDescent="0.3"/>
  <cols>
    <col min="1" max="1" width="9.109375" style="170"/>
    <col min="2" max="2" width="17.88671875" style="170" customWidth="1"/>
    <col min="3" max="3" width="11.33203125" style="170" bestFit="1" customWidth="1"/>
    <col min="4" max="4" width="11.5546875" style="170" bestFit="1" customWidth="1"/>
    <col min="5" max="5" width="13.44140625" style="170" bestFit="1" customWidth="1"/>
    <col min="6" max="16384" width="9.109375" style="170"/>
  </cols>
  <sheetData>
    <row r="1" spans="1:23" x14ac:dyDescent="0.3">
      <c r="A1" s="335" t="s">
        <v>0</v>
      </c>
      <c r="B1" s="335"/>
      <c r="C1" s="171">
        <v>33939</v>
      </c>
      <c r="D1" s="171">
        <v>37591</v>
      </c>
      <c r="E1" s="171">
        <v>41244</v>
      </c>
      <c r="F1" s="171">
        <v>41639</v>
      </c>
    </row>
    <row r="2" spans="1:23" x14ac:dyDescent="0.3">
      <c r="A2" s="172" t="s">
        <v>248</v>
      </c>
      <c r="B2" s="173"/>
      <c r="C2" s="174">
        <v>7</v>
      </c>
      <c r="D2" s="174">
        <v>68</v>
      </c>
      <c r="E2" s="174">
        <f>'Cummulative Progress since 82'!AF4</f>
        <v>112</v>
      </c>
      <c r="F2" s="170">
        <f>'Cummulative Progress since 82'!AG4</f>
        <v>120</v>
      </c>
    </row>
    <row r="4" spans="1:23" x14ac:dyDescent="0.3">
      <c r="C4" s="170" t="s">
        <v>256</v>
      </c>
      <c r="D4" s="170" t="s">
        <v>257</v>
      </c>
      <c r="E4" s="217" t="s">
        <v>272</v>
      </c>
      <c r="S4" s="335" t="s">
        <v>0</v>
      </c>
      <c r="T4" s="335"/>
      <c r="U4" s="171">
        <v>33939</v>
      </c>
      <c r="V4" s="171">
        <v>37591</v>
      </c>
      <c r="W4" s="171">
        <v>41609</v>
      </c>
    </row>
    <row r="5" spans="1:23" x14ac:dyDescent="0.3">
      <c r="C5" s="199">
        <f>C2</f>
        <v>7</v>
      </c>
      <c r="D5" s="199">
        <f>D2</f>
        <v>68</v>
      </c>
      <c r="E5" s="199">
        <f>F2</f>
        <v>120</v>
      </c>
      <c r="S5" s="172" t="s">
        <v>306</v>
      </c>
      <c r="T5" s="173"/>
      <c r="U5" s="174">
        <f>'Cummulative Progress since 82'!L7</f>
        <v>0</v>
      </c>
      <c r="V5" s="174">
        <f>'Cummulative Progress since 82'!V7</f>
        <v>0</v>
      </c>
      <c r="W5" s="174">
        <f>'Cummulative Progress since 82'!AG7</f>
        <v>1071</v>
      </c>
    </row>
    <row r="7" spans="1:23" x14ac:dyDescent="0.3">
      <c r="U7" s="170" t="s">
        <v>256</v>
      </c>
      <c r="V7" s="170" t="s">
        <v>257</v>
      </c>
      <c r="W7" s="217" t="s">
        <v>272</v>
      </c>
    </row>
    <row r="8" spans="1:23" x14ac:dyDescent="0.3">
      <c r="U8" s="199">
        <f>U5</f>
        <v>0</v>
      </c>
      <c r="V8" s="199">
        <f>V5</f>
        <v>0</v>
      </c>
      <c r="W8" s="199">
        <f>W5</f>
        <v>1071</v>
      </c>
    </row>
    <row r="26" spans="1:5" x14ac:dyDescent="0.3">
      <c r="A26" s="335" t="s">
        <v>0</v>
      </c>
      <c r="B26" s="335"/>
      <c r="C26" s="171">
        <v>33939</v>
      </c>
      <c r="D26" s="171">
        <v>37591</v>
      </c>
      <c r="E26" s="171">
        <v>41609</v>
      </c>
    </row>
    <row r="27" spans="1:5" x14ac:dyDescent="0.3">
      <c r="A27" s="176" t="s">
        <v>299</v>
      </c>
      <c r="B27" s="173"/>
      <c r="C27" s="174">
        <v>121</v>
      </c>
      <c r="D27" s="174">
        <v>1521</v>
      </c>
      <c r="E27" s="174">
        <f>'Cummulative Progress since 82'!AG5</f>
        <v>3617</v>
      </c>
    </row>
    <row r="30" spans="1:5" x14ac:dyDescent="0.3">
      <c r="C30" s="170" t="s">
        <v>256</v>
      </c>
      <c r="D30" s="170" t="s">
        <v>257</v>
      </c>
      <c r="E30" s="217" t="s">
        <v>272</v>
      </c>
    </row>
    <row r="31" spans="1:5" x14ac:dyDescent="0.3">
      <c r="C31" s="199">
        <f>C27</f>
        <v>121</v>
      </c>
      <c r="D31" s="199">
        <f>D27</f>
        <v>1521</v>
      </c>
      <c r="E31" s="199">
        <f>E27</f>
        <v>3617</v>
      </c>
    </row>
    <row r="51" spans="1:5" x14ac:dyDescent="0.3">
      <c r="A51" s="335" t="s">
        <v>0</v>
      </c>
      <c r="B51" s="335"/>
      <c r="C51" s="171">
        <v>33939</v>
      </c>
      <c r="D51" s="171">
        <v>37591</v>
      </c>
      <c r="E51" s="171">
        <v>41609</v>
      </c>
    </row>
    <row r="52" spans="1:5" x14ac:dyDescent="0.3">
      <c r="A52" s="176" t="s">
        <v>300</v>
      </c>
      <c r="B52" s="173"/>
      <c r="C52" s="174">
        <v>75465.052497846686</v>
      </c>
      <c r="D52" s="174">
        <v>740798.94726836472</v>
      </c>
      <c r="E52" s="174">
        <f>'Cummulative Progress since 82'!AG6</f>
        <v>5847177</v>
      </c>
    </row>
    <row r="56" spans="1:5" x14ac:dyDescent="0.3">
      <c r="C56" s="170" t="s">
        <v>256</v>
      </c>
      <c r="D56" s="170" t="s">
        <v>257</v>
      </c>
      <c r="E56" s="217" t="s">
        <v>272</v>
      </c>
    </row>
    <row r="57" spans="1:5" x14ac:dyDescent="0.3">
      <c r="C57" s="200">
        <f>C52/1000000</f>
        <v>7.5465052497846685E-2</v>
      </c>
      <c r="D57" s="200">
        <f>D52/1000000</f>
        <v>0.7407989472683647</v>
      </c>
      <c r="E57" s="201">
        <f>E52/1000000</f>
        <v>5.8471770000000003</v>
      </c>
    </row>
    <row r="74" spans="1:5" x14ac:dyDescent="0.3">
      <c r="A74" s="335" t="s">
        <v>0</v>
      </c>
      <c r="B74" s="335"/>
      <c r="C74" s="171">
        <v>33939</v>
      </c>
      <c r="D74" s="171">
        <v>37591</v>
      </c>
      <c r="E74" s="171">
        <v>41609</v>
      </c>
    </row>
    <row r="75" spans="1:5" x14ac:dyDescent="0.3">
      <c r="A75" s="336" t="s">
        <v>287</v>
      </c>
      <c r="B75" s="180" t="s">
        <v>13</v>
      </c>
      <c r="C75" s="174">
        <v>612</v>
      </c>
      <c r="D75" s="174">
        <v>11806</v>
      </c>
      <c r="E75" s="174">
        <f>'Cummulative Progress since 82'!AG8</f>
        <v>169663</v>
      </c>
    </row>
    <row r="76" spans="1:5" x14ac:dyDescent="0.3">
      <c r="A76" s="336"/>
      <c r="B76" s="181" t="s">
        <v>14</v>
      </c>
      <c r="C76" s="174">
        <v>1723</v>
      </c>
      <c r="D76" s="174">
        <v>23567.25</v>
      </c>
      <c r="E76" s="174">
        <f>'Cummulative Progress since 82'!AG9</f>
        <v>166294</v>
      </c>
    </row>
    <row r="77" spans="1:5" x14ac:dyDescent="0.3">
      <c r="A77" s="336"/>
      <c r="B77" s="181" t="s">
        <v>15</v>
      </c>
      <c r="C77" s="174">
        <v>0</v>
      </c>
      <c r="D77" s="174">
        <v>1252.0999999999999</v>
      </c>
      <c r="E77" s="174">
        <f>'Cummulative Progress since 82'!AG10</f>
        <v>14010</v>
      </c>
    </row>
    <row r="78" spans="1:5" x14ac:dyDescent="0.3">
      <c r="A78" s="336"/>
      <c r="B78" s="182" t="s">
        <v>16</v>
      </c>
      <c r="C78" s="183">
        <v>2335</v>
      </c>
      <c r="D78" s="183">
        <v>36625.35</v>
      </c>
      <c r="E78" s="183">
        <f>SUM(E75:E77)</f>
        <v>349967</v>
      </c>
    </row>
    <row r="82" spans="2:5" x14ac:dyDescent="0.3">
      <c r="C82" s="170" t="s">
        <v>256</v>
      </c>
      <c r="D82" s="170" t="s">
        <v>257</v>
      </c>
      <c r="E82" s="217" t="s">
        <v>272</v>
      </c>
    </row>
    <row r="83" spans="2:5" x14ac:dyDescent="0.3">
      <c r="B83" s="180" t="s">
        <v>13</v>
      </c>
      <c r="C83" s="199">
        <f>C75</f>
        <v>612</v>
      </c>
      <c r="D83" s="199">
        <f>D75</f>
        <v>11806</v>
      </c>
      <c r="E83" s="199">
        <f>E75</f>
        <v>169663</v>
      </c>
    </row>
    <row r="84" spans="2:5" x14ac:dyDescent="0.3">
      <c r="B84" s="181" t="s">
        <v>14</v>
      </c>
      <c r="C84" s="199">
        <f t="shared" ref="C84:E86" si="0">C76</f>
        <v>1723</v>
      </c>
      <c r="D84" s="199">
        <f t="shared" si="0"/>
        <v>23567.25</v>
      </c>
      <c r="E84" s="199">
        <f t="shared" si="0"/>
        <v>166294</v>
      </c>
    </row>
    <row r="85" spans="2:5" x14ac:dyDescent="0.3">
      <c r="B85" s="181" t="s">
        <v>15</v>
      </c>
      <c r="C85" s="199">
        <f t="shared" si="0"/>
        <v>0</v>
      </c>
      <c r="D85" s="199">
        <f t="shared" si="0"/>
        <v>1252.0999999999999</v>
      </c>
      <c r="E85" s="199">
        <f t="shared" si="0"/>
        <v>14010</v>
      </c>
    </row>
    <row r="86" spans="2:5" x14ac:dyDescent="0.3">
      <c r="B86" s="182" t="s">
        <v>16</v>
      </c>
      <c r="C86" s="199">
        <f t="shared" si="0"/>
        <v>2335</v>
      </c>
      <c r="D86" s="199">
        <f t="shared" si="0"/>
        <v>36625.35</v>
      </c>
      <c r="E86" s="199">
        <f t="shared" si="0"/>
        <v>349967</v>
      </c>
    </row>
    <row r="102" spans="1:5" x14ac:dyDescent="0.3">
      <c r="C102" s="170" t="s">
        <v>256</v>
      </c>
      <c r="D102" s="170" t="s">
        <v>257</v>
      </c>
      <c r="E102" s="217" t="s">
        <v>272</v>
      </c>
    </row>
    <row r="103" spans="1:5" x14ac:dyDescent="0.3">
      <c r="A103" s="337" t="s">
        <v>249</v>
      </c>
      <c r="B103" s="185" t="s">
        <v>17</v>
      </c>
      <c r="C103" s="202">
        <f>'Cummulative Progress since 82'!L15</f>
        <v>17.787599999999998</v>
      </c>
      <c r="D103" s="202">
        <f>'Cummulative Progress since 82'!V15</f>
        <v>214.49246599999998</v>
      </c>
      <c r="E103" s="202">
        <f>'Cummulative Progress since 82'!AG15</f>
        <v>715.35420999999997</v>
      </c>
    </row>
    <row r="104" spans="1:5" x14ac:dyDescent="0.3">
      <c r="A104" s="337"/>
      <c r="B104" s="187" t="s">
        <v>18</v>
      </c>
      <c r="C104" s="202">
        <f>'Cummulative Progress since 82'!L16</f>
        <v>127.39009999999999</v>
      </c>
      <c r="D104" s="202">
        <f>'Cummulative Progress since 82'!V16</f>
        <v>628.37888399999997</v>
      </c>
      <c r="E104" s="202">
        <f>'Cummulative Progress since 82'!AG16</f>
        <v>1911.7217749999998</v>
      </c>
    </row>
    <row r="105" spans="1:5" x14ac:dyDescent="0.3">
      <c r="A105" s="337"/>
      <c r="B105" s="182" t="s">
        <v>16</v>
      </c>
      <c r="C105" s="202">
        <f>'Cummulative Progress since 82'!L17</f>
        <v>145.17769999999999</v>
      </c>
      <c r="D105" s="202">
        <f>'Cummulative Progress since 82'!V17</f>
        <v>842.87134999999989</v>
      </c>
      <c r="E105" s="202">
        <f>'Cummulative Progress since 82'!AG17</f>
        <v>2627.0759849999995</v>
      </c>
    </row>
    <row r="117" spans="1:5" x14ac:dyDescent="0.3">
      <c r="C117" s="170" t="s">
        <v>256</v>
      </c>
      <c r="D117" s="170" t="s">
        <v>257</v>
      </c>
      <c r="E117" s="217" t="s">
        <v>272</v>
      </c>
    </row>
    <row r="118" spans="1:5" x14ac:dyDescent="0.3">
      <c r="A118" s="336" t="s">
        <v>19</v>
      </c>
      <c r="B118" s="180" t="s">
        <v>17</v>
      </c>
      <c r="C118" s="202">
        <f>'Cummulative Progress since 82'!L18</f>
        <v>1318</v>
      </c>
      <c r="D118" s="202">
        <f>'Cummulative Progress since 82'!V18</f>
        <v>115299</v>
      </c>
      <c r="E118" s="202">
        <f>'Cummulative Progress since 82'!AG18</f>
        <v>2081273</v>
      </c>
    </row>
    <row r="119" spans="1:5" x14ac:dyDescent="0.3">
      <c r="A119" s="336"/>
      <c r="B119" s="181" t="s">
        <v>18</v>
      </c>
      <c r="C119" s="202">
        <f>'Cummulative Progress since 82'!L19</f>
        <v>9601</v>
      </c>
      <c r="D119" s="202">
        <f>'Cummulative Progress since 82'!V19</f>
        <v>253956</v>
      </c>
      <c r="E119" s="202">
        <f>'Cummulative Progress since 82'!AG19</f>
        <v>1853002</v>
      </c>
    </row>
    <row r="120" spans="1:5" x14ac:dyDescent="0.3">
      <c r="A120" s="336"/>
      <c r="B120" s="182" t="s">
        <v>16</v>
      </c>
      <c r="C120" s="202">
        <f>'Cummulative Progress since 82'!L20</f>
        <v>10919</v>
      </c>
      <c r="D120" s="202">
        <f>'Cummulative Progress since 82'!V20</f>
        <v>369255</v>
      </c>
      <c r="E120" s="202">
        <f>'Cummulative Progress since 82'!AG20</f>
        <v>3934275</v>
      </c>
    </row>
    <row r="138" spans="1:5" x14ac:dyDescent="0.3">
      <c r="C138" s="170" t="s">
        <v>256</v>
      </c>
      <c r="D138" s="170" t="s">
        <v>257</v>
      </c>
      <c r="E138" s="217" t="s">
        <v>272</v>
      </c>
    </row>
    <row r="139" spans="1:5" x14ac:dyDescent="0.3">
      <c r="A139" s="337" t="s">
        <v>20</v>
      </c>
      <c r="B139" s="185" t="s">
        <v>17</v>
      </c>
      <c r="C139" s="202">
        <f>'Cummulative Progress since 82'!L25</f>
        <v>11.086100000000002</v>
      </c>
      <c r="D139" s="202">
        <f>'Cummulative Progress since 82'!V25</f>
        <v>1129.6137100000001</v>
      </c>
      <c r="E139" s="202">
        <f>'Cummulative Progress since 82'!AG25</f>
        <v>52556.471209999996</v>
      </c>
    </row>
    <row r="140" spans="1:5" x14ac:dyDescent="0.3">
      <c r="A140" s="337"/>
      <c r="B140" s="187" t="s">
        <v>18</v>
      </c>
      <c r="C140" s="202">
        <f>'Cummulative Progress since 82'!L26</f>
        <v>144.87455300000002</v>
      </c>
      <c r="D140" s="202">
        <f>'Cummulative Progress since 82'!V26</f>
        <v>5493.9082699999999</v>
      </c>
      <c r="E140" s="202">
        <f>'Cummulative Progress since 82'!AG26</f>
        <v>59110.247201999999</v>
      </c>
    </row>
    <row r="141" spans="1:5" x14ac:dyDescent="0.3">
      <c r="A141" s="337"/>
      <c r="B141" s="182" t="s">
        <v>16</v>
      </c>
      <c r="C141" s="202">
        <f>'Cummulative Progress since 82'!L27</f>
        <v>155.96065300000001</v>
      </c>
      <c r="D141" s="202">
        <f>'Cummulative Progress since 82'!V27</f>
        <v>6623.5219799999995</v>
      </c>
      <c r="E141" s="202">
        <f>'Cummulative Progress since 82'!AG27</f>
        <v>111666.71841199999</v>
      </c>
    </row>
    <row r="159" spans="1:5" x14ac:dyDescent="0.3">
      <c r="C159" s="170" t="s">
        <v>256</v>
      </c>
      <c r="D159" s="170" t="s">
        <v>257</v>
      </c>
      <c r="E159" s="170" t="s">
        <v>258</v>
      </c>
    </row>
    <row r="160" spans="1:5" x14ac:dyDescent="0.3">
      <c r="A160" s="337" t="s">
        <v>251</v>
      </c>
      <c r="B160" s="187" t="s">
        <v>252</v>
      </c>
    </row>
    <row r="161" spans="1:5" x14ac:dyDescent="0.3">
      <c r="A161" s="337"/>
      <c r="B161" s="187" t="s">
        <v>253</v>
      </c>
    </row>
    <row r="162" spans="1:5" x14ac:dyDescent="0.3">
      <c r="A162" s="337"/>
      <c r="B162" s="182" t="s">
        <v>16</v>
      </c>
    </row>
    <row r="163" spans="1:5" x14ac:dyDescent="0.3">
      <c r="C163" s="170" t="s">
        <v>256</v>
      </c>
      <c r="D163" s="170" t="s">
        <v>257</v>
      </c>
      <c r="E163" s="217" t="s">
        <v>272</v>
      </c>
    </row>
    <row r="164" spans="1:5" ht="42" x14ac:dyDescent="0.3">
      <c r="B164" s="181" t="s">
        <v>250</v>
      </c>
      <c r="C164" s="170">
        <v>0</v>
      </c>
      <c r="D164" s="170">
        <v>0</v>
      </c>
      <c r="E164" s="203">
        <f>'Cummulative Progress since 82'!AG24</f>
        <v>2148.3455829999998</v>
      </c>
    </row>
    <row r="172" spans="1:5" x14ac:dyDescent="0.3">
      <c r="C172" s="170" t="s">
        <v>256</v>
      </c>
      <c r="D172" s="170" t="s">
        <v>257</v>
      </c>
      <c r="E172" s="217" t="s">
        <v>272</v>
      </c>
    </row>
    <row r="173" spans="1:5" x14ac:dyDescent="0.3">
      <c r="A173" s="336" t="s">
        <v>307</v>
      </c>
      <c r="B173" s="180" t="s">
        <v>17</v>
      </c>
      <c r="C173" s="202">
        <v>0</v>
      </c>
      <c r="D173" s="202">
        <v>0</v>
      </c>
      <c r="E173" s="202">
        <f>'Cummulative Progress since 82'!AG31</f>
        <v>1323648</v>
      </c>
    </row>
    <row r="174" spans="1:5" x14ac:dyDescent="0.3">
      <c r="A174" s="336"/>
      <c r="B174" s="181" t="s">
        <v>18</v>
      </c>
      <c r="C174" s="202">
        <v>0</v>
      </c>
      <c r="D174" s="202">
        <v>0</v>
      </c>
      <c r="E174" s="202">
        <f>'Cummulative Progress since 82'!AG32</f>
        <v>2749450</v>
      </c>
    </row>
    <row r="175" spans="1:5" x14ac:dyDescent="0.3">
      <c r="A175" s="336"/>
      <c r="B175" s="182" t="s">
        <v>16</v>
      </c>
      <c r="C175" s="202">
        <v>0</v>
      </c>
      <c r="D175" s="202">
        <v>0</v>
      </c>
      <c r="E175" s="202">
        <f>'Cummulative Progress since 82'!AG33</f>
        <v>4073098</v>
      </c>
    </row>
    <row r="188" spans="2:5" x14ac:dyDescent="0.3">
      <c r="C188" s="170" t="s">
        <v>256</v>
      </c>
      <c r="D188" s="170" t="s">
        <v>257</v>
      </c>
      <c r="E188" s="217" t="s">
        <v>272</v>
      </c>
    </row>
    <row r="189" spans="2:5" ht="27.6" x14ac:dyDescent="0.3">
      <c r="B189" s="204" t="s">
        <v>304</v>
      </c>
      <c r="C189" s="205">
        <f>'Cummulative Progress since 82'!K34</f>
        <v>1244</v>
      </c>
      <c r="D189" s="202">
        <f>'Cummulative Progress since 82'!V34</f>
        <v>18053</v>
      </c>
      <c r="E189" s="202">
        <f>'Cummulative Progress since 82'!AG34</f>
        <v>150539</v>
      </c>
    </row>
    <row r="190" spans="2:5" ht="27.6" x14ac:dyDescent="0.3">
      <c r="B190" s="206" t="s">
        <v>305</v>
      </c>
      <c r="C190" s="205">
        <f>'Cummulative Progress since 82'!K36</f>
        <v>223.26499999999999</v>
      </c>
      <c r="D190" s="202">
        <f>'Cummulative Progress since 82'!V36</f>
        <v>2310.2607330000001</v>
      </c>
      <c r="E190" s="202">
        <f>'Cummulative Progress since 82'!AG36</f>
        <v>20031.117837000002</v>
      </c>
    </row>
    <row r="195" spans="2:5" x14ac:dyDescent="0.3">
      <c r="C195" s="170" t="s">
        <v>256</v>
      </c>
      <c r="D195" s="170" t="s">
        <v>257</v>
      </c>
      <c r="E195" s="217" t="s">
        <v>272</v>
      </c>
    </row>
    <row r="196" spans="2:5" ht="41.4" x14ac:dyDescent="0.3">
      <c r="B196" s="204" t="s">
        <v>255</v>
      </c>
      <c r="C196" s="205">
        <f>'Cummulative Progress since 82'!K35</f>
        <v>70315</v>
      </c>
      <c r="D196" s="202">
        <f>'Cummulative Progress since 82'!V35</f>
        <v>924178</v>
      </c>
      <c r="E196" s="202">
        <f>'Cummulative Progress since 82'!AG35</f>
        <v>4640701</v>
      </c>
    </row>
  </sheetData>
  <mergeCells count="11">
    <mergeCell ref="A103:A105"/>
    <mergeCell ref="A118:A120"/>
    <mergeCell ref="A139:A141"/>
    <mergeCell ref="A160:A162"/>
    <mergeCell ref="A173:A175"/>
    <mergeCell ref="A75:A78"/>
    <mergeCell ref="A1:B1"/>
    <mergeCell ref="S4:T4"/>
    <mergeCell ref="A26:B26"/>
    <mergeCell ref="A51:B51"/>
    <mergeCell ref="A74:B7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pane xSplit="2" ySplit="3" topLeftCell="AB11" activePane="bottomRight" state="frozen"/>
      <selection activeCell="B27" sqref="B27"/>
      <selection pane="topRight" activeCell="B27" sqref="B27"/>
      <selection pane="bottomLeft" activeCell="B27" sqref="B27"/>
      <selection pane="bottomRight" activeCell="AI15" sqref="AI15"/>
    </sheetView>
  </sheetViews>
  <sheetFormatPr defaultColWidth="9.109375" defaultRowHeight="14.4" x14ac:dyDescent="0.3"/>
  <cols>
    <col min="1" max="1" width="35.44140625" style="170" customWidth="1"/>
    <col min="2" max="2" width="25.5546875" style="170" customWidth="1"/>
    <col min="3" max="3" width="18.109375" style="170" customWidth="1"/>
    <col min="4" max="4" width="16.33203125" style="170" customWidth="1"/>
    <col min="5" max="5" width="12.109375" style="170" customWidth="1"/>
    <col min="6" max="6" width="16.109375" style="170" customWidth="1"/>
    <col min="7" max="7" width="13.44140625" style="170" customWidth="1"/>
    <col min="8" max="8" width="12.88671875" style="170" customWidth="1"/>
    <col min="9" max="9" width="13.88671875" style="170" customWidth="1"/>
    <col min="10" max="10" width="12.88671875" style="170" customWidth="1"/>
    <col min="11" max="11" width="16.6640625" style="170" customWidth="1"/>
    <col min="12" max="12" width="16.5546875" style="170" customWidth="1"/>
    <col min="13" max="13" width="13.109375" style="170" customWidth="1"/>
    <col min="14" max="14" width="16.33203125" style="170" customWidth="1"/>
    <col min="15" max="15" width="15.6640625" style="170" customWidth="1"/>
    <col min="16" max="16" width="16.6640625" style="170" customWidth="1"/>
    <col min="17" max="17" width="16.33203125" style="170" customWidth="1"/>
    <col min="18" max="18" width="17.33203125" style="170" customWidth="1"/>
    <col min="19" max="19" width="17.5546875" style="170" customWidth="1"/>
    <col min="20" max="20" width="15.6640625" style="170" customWidth="1"/>
    <col min="21" max="21" width="17.6640625" style="170" customWidth="1"/>
    <col min="22" max="22" width="18.109375" style="170" customWidth="1"/>
    <col min="23" max="23" width="16.33203125" style="170" customWidth="1"/>
    <col min="24" max="24" width="19.109375" style="170" customWidth="1"/>
    <col min="25" max="26" width="13.88671875" style="170" customWidth="1"/>
    <col min="27" max="27" width="12.109375" style="170" customWidth="1"/>
    <col min="28" max="28" width="13.5546875" style="170" customWidth="1"/>
    <col min="29" max="29" width="14.5546875" style="170" customWidth="1"/>
    <col min="30" max="30" width="13.109375" style="170" customWidth="1"/>
    <col min="31" max="31" width="12.44140625" style="170" customWidth="1"/>
    <col min="32" max="32" width="14" style="170" customWidth="1"/>
    <col min="33" max="33" width="10.88671875" style="170" bestFit="1" customWidth="1"/>
    <col min="34" max="34" width="10.88671875" style="170" customWidth="1"/>
    <col min="35" max="35" width="10.33203125" style="170" bestFit="1" customWidth="1"/>
    <col min="36" max="16384" width="9.109375" style="170"/>
  </cols>
  <sheetData>
    <row r="1" spans="1:35" ht="15.6" x14ac:dyDescent="0.3">
      <c r="A1" s="168" t="s">
        <v>247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5" ht="15.6" x14ac:dyDescent="0.3">
      <c r="A2" s="168" t="s">
        <v>298</v>
      </c>
      <c r="B2" s="169"/>
      <c r="C2" s="169">
        <f>'Exchange rates'!C33</f>
        <v>14.288429000000001</v>
      </c>
      <c r="D2" s="169">
        <f>'Exchange rates'!C32</f>
        <v>14.811271</v>
      </c>
      <c r="E2" s="169">
        <f>'Exchange rates'!C31</f>
        <v>14.893646</v>
      </c>
      <c r="F2" s="169">
        <f>'Exchange rates'!C30</f>
        <v>15.041876</v>
      </c>
      <c r="G2" s="169">
        <f>'Exchange rates'!C29</f>
        <v>16.139358999999999</v>
      </c>
      <c r="H2" s="169">
        <f>'Exchange rates'!C28</f>
        <v>19.843609000000001</v>
      </c>
      <c r="I2" s="169">
        <f>'Exchange rates'!C27</f>
        <v>21.763497000000001</v>
      </c>
      <c r="J2" s="169">
        <f>'Exchange rates'!C26</f>
        <v>20.443417</v>
      </c>
      <c r="K2" s="169">
        <f>'Exchange rates'!C25</f>
        <v>26.268179</v>
      </c>
      <c r="L2" s="169">
        <f>'Exchange rates'!C24</f>
        <v>25.990867000000001</v>
      </c>
      <c r="M2" s="207">
        <f>'Exchange rates'!C23</f>
        <v>29.073046000000001</v>
      </c>
      <c r="N2" s="207">
        <f>'Exchange rates'!C22</f>
        <v>28.730891</v>
      </c>
      <c r="O2" s="207">
        <f>'Exchange rates'!C21</f>
        <v>29.771429999999999</v>
      </c>
      <c r="P2" s="207">
        <f>'Exchange rates'!C20</f>
        <v>37.354165000000002</v>
      </c>
      <c r="Q2" s="207">
        <f>'Exchange rates'!C19</f>
        <v>45.458930000000002</v>
      </c>
      <c r="R2" s="207">
        <f>'Exchange rates'!C18</f>
        <v>44.433608999999997</v>
      </c>
      <c r="S2" s="207">
        <f>'Exchange rates'!C17</f>
        <v>54.259295999999999</v>
      </c>
      <c r="T2" s="207">
        <f>'Exchange rates'!C16</f>
        <v>55.696345999999998</v>
      </c>
      <c r="U2" s="207">
        <f>'Exchange rates'!C15</f>
        <v>62.379555000000003</v>
      </c>
      <c r="V2" s="207">
        <f>'Exchange rates'!C14</f>
        <v>59.494475000000001</v>
      </c>
      <c r="W2" s="207">
        <f>'Exchange rates'!C13</f>
        <v>57.814433999999999</v>
      </c>
      <c r="X2" s="207">
        <f>'Exchange rates'!C12</f>
        <v>58.361262000000004</v>
      </c>
      <c r="Y2" s="207">
        <f>'Exchange rates'!C11</f>
        <v>59.604984999999999</v>
      </c>
      <c r="Z2" s="207">
        <f>'Exchange rates'!C10</f>
        <v>60.263894999999998</v>
      </c>
      <c r="AA2" s="207">
        <f>'Exchange rates'!C9</f>
        <v>60.674821000000001</v>
      </c>
      <c r="AB2" s="207">
        <f>'Exchange rates'!C8</f>
        <v>70.619783999999996</v>
      </c>
      <c r="AC2" s="207">
        <f>'Exchange rates'!C7</f>
        <v>81.598060000000004</v>
      </c>
      <c r="AD2" s="207">
        <f>'Exchange rates'!C6</f>
        <v>85.237962999999993</v>
      </c>
      <c r="AE2" s="207">
        <f>'Exchange rates'!C5</f>
        <v>86.359025000000003</v>
      </c>
      <c r="AF2" s="207">
        <f>'Exchange rates'!C4</f>
        <v>93.386073999999994</v>
      </c>
      <c r="AG2" s="207">
        <f>'Exchange rates'!C3</f>
        <v>101.611681</v>
      </c>
      <c r="AH2" s="223">
        <f>'Exchange rates'!C2</f>
        <v>100.937573</v>
      </c>
    </row>
    <row r="3" spans="1:35" x14ac:dyDescent="0.3">
      <c r="A3" s="335" t="s">
        <v>0</v>
      </c>
      <c r="B3" s="335"/>
      <c r="C3" s="171">
        <v>30651</v>
      </c>
      <c r="D3" s="171">
        <v>31017</v>
      </c>
      <c r="E3" s="171">
        <v>31382</v>
      </c>
      <c r="F3" s="171">
        <v>31747</v>
      </c>
      <c r="G3" s="171">
        <v>32112</v>
      </c>
      <c r="H3" s="171">
        <v>32478</v>
      </c>
      <c r="I3" s="171">
        <v>32843</v>
      </c>
      <c r="J3" s="171">
        <v>33208</v>
      </c>
      <c r="K3" s="171">
        <v>33573</v>
      </c>
      <c r="L3" s="171">
        <v>33939</v>
      </c>
      <c r="M3" s="171">
        <v>34304</v>
      </c>
      <c r="N3" s="171">
        <v>34669</v>
      </c>
      <c r="O3" s="171">
        <v>35034</v>
      </c>
      <c r="P3" s="171">
        <v>35400</v>
      </c>
      <c r="Q3" s="171">
        <v>35765</v>
      </c>
      <c r="R3" s="171">
        <v>36130</v>
      </c>
      <c r="S3" s="171">
        <v>36495</v>
      </c>
      <c r="T3" s="171">
        <v>36861</v>
      </c>
      <c r="U3" s="171">
        <v>37226</v>
      </c>
      <c r="V3" s="171">
        <v>37591</v>
      </c>
      <c r="W3" s="171">
        <v>37956</v>
      </c>
      <c r="X3" s="171">
        <v>38322</v>
      </c>
      <c r="Y3" s="171">
        <v>38687</v>
      </c>
      <c r="Z3" s="171">
        <v>39052</v>
      </c>
      <c r="AA3" s="171">
        <v>39417</v>
      </c>
      <c r="AB3" s="171">
        <v>39783</v>
      </c>
      <c r="AC3" s="171">
        <v>40148</v>
      </c>
      <c r="AD3" s="171">
        <v>40513</v>
      </c>
      <c r="AE3" s="171">
        <v>40878</v>
      </c>
      <c r="AF3" s="171">
        <v>41244</v>
      </c>
      <c r="AG3" s="171">
        <v>41609</v>
      </c>
      <c r="AH3" s="224">
        <v>41820</v>
      </c>
      <c r="AI3" s="170" t="s">
        <v>16</v>
      </c>
    </row>
    <row r="4" spans="1:35" x14ac:dyDescent="0.3">
      <c r="A4" s="337" t="s">
        <v>249</v>
      </c>
      <c r="B4" s="185" t="s">
        <v>17</v>
      </c>
      <c r="C4" s="208">
        <v>0</v>
      </c>
      <c r="D4" s="208">
        <v>0.52</v>
      </c>
      <c r="E4" s="208">
        <v>1.38</v>
      </c>
      <c r="F4" s="208">
        <v>2.12</v>
      </c>
      <c r="G4" s="208">
        <v>3.3511660000000001</v>
      </c>
      <c r="H4" s="208">
        <v>4.82</v>
      </c>
      <c r="I4" s="208">
        <v>7.6400000000000006</v>
      </c>
      <c r="J4" s="208">
        <v>10.405999999999999</v>
      </c>
      <c r="K4" s="208">
        <v>13.660999999999998</v>
      </c>
      <c r="L4" s="208">
        <v>17.787599999999998</v>
      </c>
      <c r="M4" s="208">
        <v>23.410838999999996</v>
      </c>
      <c r="N4" s="208">
        <v>33.897176999999999</v>
      </c>
      <c r="O4" s="208">
        <v>50.122177000000001</v>
      </c>
      <c r="P4" s="208">
        <v>67.844358999999997</v>
      </c>
      <c r="Q4" s="208">
        <v>86.601716999999994</v>
      </c>
      <c r="R4" s="208">
        <v>113.09934699999999</v>
      </c>
      <c r="S4" s="208">
        <v>131.40386000000001</v>
      </c>
      <c r="T4" s="208">
        <v>152.436712</v>
      </c>
      <c r="U4" s="208">
        <v>187.15009699999999</v>
      </c>
      <c r="V4" s="208">
        <v>214.49246599999998</v>
      </c>
      <c r="W4" s="208">
        <v>232.68807499999997</v>
      </c>
      <c r="X4" s="208">
        <v>255.77047199999998</v>
      </c>
      <c r="Y4" s="208">
        <v>286.66726699999998</v>
      </c>
      <c r="Z4" s="208">
        <v>326.90143399999999</v>
      </c>
      <c r="AA4" s="208">
        <v>405.65</v>
      </c>
      <c r="AB4" s="208">
        <v>438.99700000000001</v>
      </c>
      <c r="AC4" s="208">
        <v>474.46</v>
      </c>
      <c r="AD4" s="208">
        <v>524.33000000000004</v>
      </c>
      <c r="AE4" s="208">
        <v>594</v>
      </c>
      <c r="AF4" s="209">
        <v>748.18999999999994</v>
      </c>
      <c r="AG4" s="203">
        <v>693.13645306914987</v>
      </c>
      <c r="AH4" s="203">
        <f>'2. Overall cum progress June 14'!M15</f>
        <v>715.35420999999997</v>
      </c>
    </row>
    <row r="5" spans="1:35" x14ac:dyDescent="0.3">
      <c r="A5" s="337"/>
      <c r="B5" s="187" t="s">
        <v>18</v>
      </c>
      <c r="C5" s="208">
        <v>0.66274999999999995</v>
      </c>
      <c r="D5" s="208">
        <v>5.87</v>
      </c>
      <c r="E5" s="208">
        <v>10.530000000000001</v>
      </c>
      <c r="F5" s="208">
        <v>17.96</v>
      </c>
      <c r="G5" s="208">
        <v>34.340000000000003</v>
      </c>
      <c r="H5" s="208">
        <v>51.33</v>
      </c>
      <c r="I5" s="208">
        <v>68.41</v>
      </c>
      <c r="J5" s="208">
        <v>86.44</v>
      </c>
      <c r="K5" s="208">
        <v>104.15009999999999</v>
      </c>
      <c r="L5" s="208">
        <v>127.39009999999999</v>
      </c>
      <c r="M5" s="208">
        <v>143.040166</v>
      </c>
      <c r="N5" s="208">
        <v>181.25131299999998</v>
      </c>
      <c r="O5" s="208">
        <v>216.154313</v>
      </c>
      <c r="P5" s="208">
        <v>261.67672499999998</v>
      </c>
      <c r="Q5" s="208">
        <v>310.013937</v>
      </c>
      <c r="R5" s="208">
        <v>365.60872499999999</v>
      </c>
      <c r="S5" s="208">
        <v>427.18954600000001</v>
      </c>
      <c r="T5" s="208">
        <v>488.12429700000001</v>
      </c>
      <c r="U5" s="208">
        <v>554.72024899999997</v>
      </c>
      <c r="V5" s="208">
        <v>628.37888399999997</v>
      </c>
      <c r="W5" s="208">
        <v>672.90471700000001</v>
      </c>
      <c r="X5" s="208">
        <v>825.46499599999993</v>
      </c>
      <c r="Y5" s="208">
        <v>916.99944399999993</v>
      </c>
      <c r="Z5" s="208">
        <v>1058.2791649999999</v>
      </c>
      <c r="AA5" s="208">
        <v>1465.1</v>
      </c>
      <c r="AB5" s="208">
        <v>1601.626</v>
      </c>
      <c r="AC5" s="208">
        <v>1656.2</v>
      </c>
      <c r="AD5" s="208">
        <v>1832.35</v>
      </c>
      <c r="AE5" s="208">
        <v>1786</v>
      </c>
      <c r="AF5" s="209">
        <v>1820.3119999999997</v>
      </c>
      <c r="AG5" s="203">
        <v>1824.8696772975347</v>
      </c>
      <c r="AH5" s="203">
        <f>'2. Overall cum progress June 14'!M16</f>
        <v>1911.7217749999998</v>
      </c>
    </row>
    <row r="6" spans="1:35" x14ac:dyDescent="0.3">
      <c r="A6" s="337"/>
      <c r="B6" s="182" t="s">
        <v>16</v>
      </c>
      <c r="C6" s="210">
        <f>SUM(C4:C5)</f>
        <v>0.66274999999999995</v>
      </c>
      <c r="D6" s="210">
        <f t="shared" ref="D6:AH6" si="0">SUM(D4:D5)</f>
        <v>6.3900000000000006</v>
      </c>
      <c r="E6" s="210">
        <f t="shared" si="0"/>
        <v>11.91</v>
      </c>
      <c r="F6" s="210">
        <f t="shared" si="0"/>
        <v>20.080000000000002</v>
      </c>
      <c r="G6" s="210">
        <f t="shared" si="0"/>
        <v>37.691166000000003</v>
      </c>
      <c r="H6" s="210">
        <f t="shared" si="0"/>
        <v>56.15</v>
      </c>
      <c r="I6" s="210">
        <f t="shared" si="0"/>
        <v>76.05</v>
      </c>
      <c r="J6" s="210">
        <f t="shared" si="0"/>
        <v>96.846000000000004</v>
      </c>
      <c r="K6" s="210">
        <f t="shared" si="0"/>
        <v>117.8111</v>
      </c>
      <c r="L6" s="210">
        <f t="shared" si="0"/>
        <v>145.17769999999999</v>
      </c>
      <c r="M6" s="210">
        <f t="shared" si="0"/>
        <v>166.45100500000001</v>
      </c>
      <c r="N6" s="210">
        <f t="shared" si="0"/>
        <v>215.14848999999998</v>
      </c>
      <c r="O6" s="210">
        <f t="shared" si="0"/>
        <v>266.27649000000002</v>
      </c>
      <c r="P6" s="210">
        <f t="shared" si="0"/>
        <v>329.52108399999997</v>
      </c>
      <c r="Q6" s="210">
        <f t="shared" si="0"/>
        <v>396.61565400000001</v>
      </c>
      <c r="R6" s="210">
        <f t="shared" si="0"/>
        <v>478.70807200000002</v>
      </c>
      <c r="S6" s="210">
        <f t="shared" si="0"/>
        <v>558.59340599999996</v>
      </c>
      <c r="T6" s="210">
        <f t="shared" si="0"/>
        <v>640.56100900000001</v>
      </c>
      <c r="U6" s="210">
        <f t="shared" si="0"/>
        <v>741.87034599999993</v>
      </c>
      <c r="V6" s="210">
        <f t="shared" si="0"/>
        <v>842.87134999999989</v>
      </c>
      <c r="W6" s="210">
        <f t="shared" si="0"/>
        <v>905.59279199999992</v>
      </c>
      <c r="X6" s="210">
        <f t="shared" si="0"/>
        <v>1081.2354679999999</v>
      </c>
      <c r="Y6" s="210">
        <f t="shared" si="0"/>
        <v>1203.6667109999999</v>
      </c>
      <c r="Z6" s="210">
        <f t="shared" si="0"/>
        <v>1385.1805989999998</v>
      </c>
      <c r="AA6" s="210">
        <f t="shared" si="0"/>
        <v>1870.75</v>
      </c>
      <c r="AB6" s="210">
        <f t="shared" si="0"/>
        <v>2040.623</v>
      </c>
      <c r="AC6" s="210">
        <f t="shared" si="0"/>
        <v>2130.66</v>
      </c>
      <c r="AD6" s="210">
        <f t="shared" si="0"/>
        <v>2356.6799999999998</v>
      </c>
      <c r="AE6" s="210">
        <f t="shared" si="0"/>
        <v>2380</v>
      </c>
      <c r="AF6" s="210">
        <f t="shared" si="0"/>
        <v>2568.5019999999995</v>
      </c>
      <c r="AG6" s="210">
        <f t="shared" si="0"/>
        <v>2518.0061303666844</v>
      </c>
      <c r="AH6" s="210">
        <f t="shared" si="0"/>
        <v>2627.0759849999995</v>
      </c>
    </row>
    <row r="7" spans="1:35" ht="28.2" x14ac:dyDescent="0.3">
      <c r="A7" s="211" t="s">
        <v>205</v>
      </c>
      <c r="B7" s="181" t="s">
        <v>250</v>
      </c>
      <c r="C7" s="212">
        <v>0</v>
      </c>
      <c r="D7" s="212">
        <v>0</v>
      </c>
      <c r="E7" s="212">
        <v>0</v>
      </c>
      <c r="F7" s="212">
        <v>0</v>
      </c>
      <c r="G7" s="212">
        <v>0</v>
      </c>
      <c r="H7" s="212">
        <v>0</v>
      </c>
      <c r="I7" s="212">
        <v>0</v>
      </c>
      <c r="J7" s="212">
        <v>0</v>
      </c>
      <c r="K7" s="212">
        <v>0</v>
      </c>
      <c r="L7" s="212">
        <v>0</v>
      </c>
      <c r="M7" s="212">
        <v>0</v>
      </c>
      <c r="N7" s="212">
        <v>0</v>
      </c>
      <c r="O7" s="212">
        <v>0</v>
      </c>
      <c r="P7" s="212">
        <v>0</v>
      </c>
      <c r="Q7" s="212">
        <v>0</v>
      </c>
      <c r="R7" s="212">
        <v>0</v>
      </c>
      <c r="S7" s="212">
        <v>0</v>
      </c>
      <c r="T7" s="212">
        <v>0</v>
      </c>
      <c r="U7" s="212">
        <v>0</v>
      </c>
      <c r="V7" s="212">
        <v>0</v>
      </c>
      <c r="W7" s="212">
        <v>0</v>
      </c>
      <c r="X7" s="212">
        <v>0</v>
      </c>
      <c r="Y7" s="212">
        <v>0</v>
      </c>
      <c r="Z7" s="212">
        <v>0</v>
      </c>
      <c r="AA7" s="212">
        <v>0</v>
      </c>
      <c r="AB7" s="212">
        <v>0</v>
      </c>
      <c r="AC7" s="212">
        <v>0</v>
      </c>
      <c r="AD7" s="212">
        <v>0</v>
      </c>
      <c r="AE7" s="212">
        <v>1106</v>
      </c>
      <c r="AF7" s="209">
        <v>1652.9050830000001</v>
      </c>
      <c r="AG7" s="203">
        <v>1877.3000830000001</v>
      </c>
      <c r="AH7" s="203">
        <f>'2. Overall cum progress June 14'!M24</f>
        <v>2148.3455829999998</v>
      </c>
    </row>
    <row r="8" spans="1:35" x14ac:dyDescent="0.3">
      <c r="A8" s="337" t="s">
        <v>20</v>
      </c>
      <c r="B8" s="185" t="s">
        <v>17</v>
      </c>
      <c r="C8" s="208">
        <v>0</v>
      </c>
      <c r="D8" s="208">
        <v>0</v>
      </c>
      <c r="E8" s="208">
        <v>0</v>
      </c>
      <c r="F8" s="208">
        <v>0</v>
      </c>
      <c r="G8" s="208">
        <v>0.72933599999999998</v>
      </c>
      <c r="H8" s="208">
        <v>2.6786989999999999</v>
      </c>
      <c r="I8" s="208">
        <v>3.9</v>
      </c>
      <c r="J8" s="208">
        <v>6.08</v>
      </c>
      <c r="K8" s="208">
        <v>8.0981000000000005</v>
      </c>
      <c r="L8" s="208">
        <v>11.086100000000002</v>
      </c>
      <c r="M8" s="208">
        <v>16.658100000000001</v>
      </c>
      <c r="N8" s="208">
        <v>27.8354</v>
      </c>
      <c r="O8" s="208">
        <v>51.955740000000006</v>
      </c>
      <c r="P8" s="208">
        <v>89.685465000000008</v>
      </c>
      <c r="Q8" s="208">
        <v>171.398079</v>
      </c>
      <c r="R8" s="208">
        <v>257.79349400000001</v>
      </c>
      <c r="S8" s="208">
        <v>393.65334400000006</v>
      </c>
      <c r="T8" s="208">
        <v>593.8265100000001</v>
      </c>
      <c r="U8" s="208">
        <v>837.80627000000004</v>
      </c>
      <c r="V8" s="208">
        <v>1129.6137100000001</v>
      </c>
      <c r="W8" s="208">
        <v>1564.6495610000002</v>
      </c>
      <c r="X8" s="208">
        <v>2141.8754820000004</v>
      </c>
      <c r="Y8" s="208">
        <v>2963.9566730000006</v>
      </c>
      <c r="Z8" s="208">
        <v>4199.2255530000002</v>
      </c>
      <c r="AA8" s="208">
        <v>8062.3</v>
      </c>
      <c r="AB8" s="208">
        <v>12289.19</v>
      </c>
      <c r="AC8" s="208">
        <v>16292.39</v>
      </c>
      <c r="AD8" s="208">
        <v>18466.13</v>
      </c>
      <c r="AE8" s="208">
        <v>26846</v>
      </c>
      <c r="AF8" s="209">
        <v>34781.01571</v>
      </c>
      <c r="AG8" s="203">
        <v>43222.323109999998</v>
      </c>
      <c r="AH8" s="203">
        <f>'2. Overall cum progress June 14'!M25</f>
        <v>52556.471209999996</v>
      </c>
    </row>
    <row r="9" spans="1:35" x14ac:dyDescent="0.3">
      <c r="A9" s="337"/>
      <c r="B9" s="187" t="s">
        <v>18</v>
      </c>
      <c r="C9" s="208">
        <v>0.71</v>
      </c>
      <c r="D9" s="208">
        <v>3.52</v>
      </c>
      <c r="E9" s="208">
        <v>8.57</v>
      </c>
      <c r="F9" s="208">
        <v>24.75</v>
      </c>
      <c r="G9" s="208">
        <v>50.017663999999996</v>
      </c>
      <c r="H9" s="208">
        <v>82.621300999999988</v>
      </c>
      <c r="I9" s="208">
        <v>111.5</v>
      </c>
      <c r="J9" s="208">
        <v>123.37</v>
      </c>
      <c r="K9" s="208">
        <v>132.99956500000002</v>
      </c>
      <c r="L9" s="208">
        <v>144.87455300000002</v>
      </c>
      <c r="M9" s="208">
        <v>153.21655300000003</v>
      </c>
      <c r="N9" s="208">
        <v>328.99442700000003</v>
      </c>
      <c r="O9" s="208">
        <v>441.10692700000004</v>
      </c>
      <c r="P9" s="208">
        <v>619.586547</v>
      </c>
      <c r="Q9" s="208">
        <v>941.10618299999999</v>
      </c>
      <c r="R9" s="208">
        <v>1624.0987719999998</v>
      </c>
      <c r="S9" s="208">
        <v>2801.8091079999999</v>
      </c>
      <c r="T9" s="208">
        <v>3773.813615</v>
      </c>
      <c r="U9" s="208">
        <v>4692.3594059999996</v>
      </c>
      <c r="V9" s="208">
        <v>5493.9082699999999</v>
      </c>
      <c r="W9" s="208">
        <v>6546.9565199999997</v>
      </c>
      <c r="X9" s="208">
        <v>8081.4465309999996</v>
      </c>
      <c r="Y9" s="208">
        <v>9857.6422309999998</v>
      </c>
      <c r="Z9" s="208">
        <v>12699.101413</v>
      </c>
      <c r="AA9" s="208">
        <v>19795.93</v>
      </c>
      <c r="AB9" s="208">
        <v>28557.16</v>
      </c>
      <c r="AC9" s="208">
        <v>35616.32</v>
      </c>
      <c r="AD9" s="208">
        <v>43669.73</v>
      </c>
      <c r="AE9" s="208">
        <v>46277</v>
      </c>
      <c r="AF9" s="209">
        <v>50357.762002000003</v>
      </c>
      <c r="AG9" s="203">
        <v>54470.853802000005</v>
      </c>
      <c r="AH9" s="203">
        <f>'2. Overall cum progress June 14'!M26</f>
        <v>59110.247201999999</v>
      </c>
    </row>
    <row r="10" spans="1:35" x14ac:dyDescent="0.3">
      <c r="A10" s="337"/>
      <c r="B10" s="182" t="s">
        <v>16</v>
      </c>
      <c r="C10" s="210">
        <f>SUM(C8:C9)</f>
        <v>0.71</v>
      </c>
      <c r="D10" s="210">
        <f t="shared" ref="D10:AH10" si="1">SUM(D8:D9)</f>
        <v>3.52</v>
      </c>
      <c r="E10" s="210">
        <f t="shared" si="1"/>
        <v>8.57</v>
      </c>
      <c r="F10" s="210">
        <f t="shared" si="1"/>
        <v>24.75</v>
      </c>
      <c r="G10" s="210">
        <f t="shared" si="1"/>
        <v>50.747</v>
      </c>
      <c r="H10" s="210">
        <f t="shared" si="1"/>
        <v>85.299999999999983</v>
      </c>
      <c r="I10" s="210">
        <f t="shared" si="1"/>
        <v>115.4</v>
      </c>
      <c r="J10" s="210">
        <f t="shared" si="1"/>
        <v>129.45000000000002</v>
      </c>
      <c r="K10" s="210">
        <f t="shared" si="1"/>
        <v>141.09766500000001</v>
      </c>
      <c r="L10" s="210">
        <f t="shared" si="1"/>
        <v>155.96065300000004</v>
      </c>
      <c r="M10" s="210">
        <f t="shared" si="1"/>
        <v>169.87465300000002</v>
      </c>
      <c r="N10" s="210">
        <f t="shared" si="1"/>
        <v>356.82982700000002</v>
      </c>
      <c r="O10" s="210">
        <f t="shared" si="1"/>
        <v>493.06266700000003</v>
      </c>
      <c r="P10" s="210">
        <f t="shared" si="1"/>
        <v>709.27201200000002</v>
      </c>
      <c r="Q10" s="210">
        <f t="shared" si="1"/>
        <v>1112.5042619999999</v>
      </c>
      <c r="R10" s="210">
        <f t="shared" si="1"/>
        <v>1881.8922659999998</v>
      </c>
      <c r="S10" s="210">
        <f t="shared" si="1"/>
        <v>3195.4624519999998</v>
      </c>
      <c r="T10" s="210">
        <f t="shared" si="1"/>
        <v>4367.6401249999999</v>
      </c>
      <c r="U10" s="210">
        <f t="shared" si="1"/>
        <v>5530.1656759999996</v>
      </c>
      <c r="V10" s="210">
        <f t="shared" si="1"/>
        <v>6623.5219799999995</v>
      </c>
      <c r="W10" s="210">
        <f t="shared" si="1"/>
        <v>8111.6060809999999</v>
      </c>
      <c r="X10" s="210">
        <f t="shared" si="1"/>
        <v>10223.322013000001</v>
      </c>
      <c r="Y10" s="210">
        <f t="shared" si="1"/>
        <v>12821.598904</v>
      </c>
      <c r="Z10" s="210">
        <f t="shared" si="1"/>
        <v>16898.326966000001</v>
      </c>
      <c r="AA10" s="210">
        <f t="shared" si="1"/>
        <v>27858.23</v>
      </c>
      <c r="AB10" s="210">
        <f t="shared" si="1"/>
        <v>40846.35</v>
      </c>
      <c r="AC10" s="210">
        <f t="shared" si="1"/>
        <v>51908.71</v>
      </c>
      <c r="AD10" s="210">
        <f t="shared" si="1"/>
        <v>62135.86</v>
      </c>
      <c r="AE10" s="210">
        <f t="shared" si="1"/>
        <v>73123</v>
      </c>
      <c r="AF10" s="210">
        <f t="shared" si="1"/>
        <v>85138.77771200001</v>
      </c>
      <c r="AG10" s="210">
        <f t="shared" si="1"/>
        <v>97693.176911999995</v>
      </c>
      <c r="AH10" s="210">
        <f t="shared" si="1"/>
        <v>111666.71841199999</v>
      </c>
    </row>
    <row r="11" spans="1:35" x14ac:dyDescent="0.3">
      <c r="A11" s="340" t="s">
        <v>305</v>
      </c>
      <c r="B11" s="340"/>
      <c r="C11" s="208">
        <v>9.5</v>
      </c>
      <c r="D11" s="208">
        <v>28.82</v>
      </c>
      <c r="E11" s="208">
        <v>47.5</v>
      </c>
      <c r="F11" s="208">
        <v>65.12</v>
      </c>
      <c r="G11" s="208">
        <v>90.87</v>
      </c>
      <c r="H11" s="208">
        <v>124.28</v>
      </c>
      <c r="I11" s="208">
        <v>151</v>
      </c>
      <c r="J11" s="208">
        <v>189.054</v>
      </c>
      <c r="K11" s="208">
        <v>223.26499999999999</v>
      </c>
      <c r="L11" s="208">
        <v>252.05999999999997</v>
      </c>
      <c r="M11" s="208">
        <v>278.82417199999998</v>
      </c>
      <c r="N11" s="208">
        <v>306.35615199999995</v>
      </c>
      <c r="O11" s="208">
        <v>369.96915199999995</v>
      </c>
      <c r="P11" s="208">
        <v>462.86128099999996</v>
      </c>
      <c r="Q11" s="208">
        <v>610.54608699999994</v>
      </c>
      <c r="R11" s="208">
        <v>822.72373299999992</v>
      </c>
      <c r="S11" s="208">
        <v>1052.7613690000001</v>
      </c>
      <c r="T11" s="208">
        <v>1328.491342</v>
      </c>
      <c r="U11" s="208">
        <v>1636.4943720000001</v>
      </c>
      <c r="V11" s="208">
        <v>2310.2607330000001</v>
      </c>
      <c r="W11" s="208">
        <v>2775.4692789999999</v>
      </c>
      <c r="X11" s="208">
        <v>3825.75</v>
      </c>
      <c r="Y11" s="208">
        <v>4412.9717760000003</v>
      </c>
      <c r="Z11" s="208">
        <v>5698.9876720000002</v>
      </c>
      <c r="AA11" s="208">
        <v>7761.45</v>
      </c>
      <c r="AB11" s="208">
        <v>9194.25</v>
      </c>
      <c r="AC11" s="208">
        <v>10955.06</v>
      </c>
      <c r="AD11" s="208">
        <v>12171.84</v>
      </c>
      <c r="AE11" s="208">
        <v>16365</v>
      </c>
      <c r="AF11" s="209">
        <v>17467.013999999999</v>
      </c>
      <c r="AG11" s="203">
        <v>18809.671962</v>
      </c>
      <c r="AH11" s="203">
        <f>'2. Overall cum progress June 14'!M42</f>
        <v>20031.117837000002</v>
      </c>
    </row>
    <row r="12" spans="1:35" x14ac:dyDescent="0.3">
      <c r="A12" s="335" t="s">
        <v>0</v>
      </c>
      <c r="B12" s="335"/>
      <c r="C12" s="171">
        <v>30651</v>
      </c>
      <c r="D12" s="171">
        <v>31017</v>
      </c>
      <c r="E12" s="171">
        <v>31382</v>
      </c>
      <c r="F12" s="171">
        <v>31747</v>
      </c>
      <c r="G12" s="171">
        <v>32112</v>
      </c>
      <c r="H12" s="171">
        <v>32478</v>
      </c>
      <c r="I12" s="171">
        <v>32843</v>
      </c>
      <c r="J12" s="171">
        <v>33208</v>
      </c>
      <c r="K12" s="171">
        <v>33573</v>
      </c>
      <c r="L12" s="171">
        <v>33939</v>
      </c>
      <c r="M12" s="171">
        <v>34304</v>
      </c>
      <c r="N12" s="171">
        <v>34669</v>
      </c>
      <c r="O12" s="171">
        <v>35034</v>
      </c>
      <c r="P12" s="171">
        <v>35400</v>
      </c>
      <c r="Q12" s="171">
        <v>35765</v>
      </c>
      <c r="R12" s="171">
        <v>36130</v>
      </c>
      <c r="S12" s="171">
        <v>36495</v>
      </c>
      <c r="T12" s="171">
        <v>36861</v>
      </c>
      <c r="U12" s="171">
        <v>37226</v>
      </c>
      <c r="V12" s="171">
        <v>37591</v>
      </c>
      <c r="W12" s="171">
        <v>37956</v>
      </c>
      <c r="X12" s="171">
        <v>38322</v>
      </c>
      <c r="Y12" s="171">
        <v>38687</v>
      </c>
      <c r="Z12" s="171">
        <v>39052</v>
      </c>
      <c r="AA12" s="171">
        <v>39417</v>
      </c>
      <c r="AB12" s="171">
        <v>39783</v>
      </c>
      <c r="AC12" s="171">
        <v>40148</v>
      </c>
      <c r="AD12" s="171">
        <v>40513</v>
      </c>
      <c r="AE12" s="171">
        <v>40878</v>
      </c>
      <c r="AF12" s="171">
        <v>41244</v>
      </c>
      <c r="AG12" s="171">
        <v>41609</v>
      </c>
      <c r="AH12" s="224">
        <f>AH3</f>
        <v>41820</v>
      </c>
    </row>
    <row r="13" spans="1:35" x14ac:dyDescent="0.3">
      <c r="A13" s="337" t="s">
        <v>249</v>
      </c>
      <c r="B13" s="185" t="s">
        <v>17</v>
      </c>
      <c r="C13" s="208">
        <v>0</v>
      </c>
      <c r="D13" s="208">
        <f t="shared" ref="D13:AH14" si="2">D4-C4</f>
        <v>0.52</v>
      </c>
      <c r="E13" s="208">
        <f t="shared" si="2"/>
        <v>0.85999999999999988</v>
      </c>
      <c r="F13" s="208">
        <f t="shared" si="2"/>
        <v>0.74000000000000021</v>
      </c>
      <c r="G13" s="208">
        <f t="shared" si="2"/>
        <v>1.231166</v>
      </c>
      <c r="H13" s="208">
        <f t="shared" si="2"/>
        <v>1.4688340000000002</v>
      </c>
      <c r="I13" s="208">
        <f t="shared" si="2"/>
        <v>2.8200000000000003</v>
      </c>
      <c r="J13" s="208">
        <f t="shared" si="2"/>
        <v>2.7659999999999982</v>
      </c>
      <c r="K13" s="208">
        <f t="shared" si="2"/>
        <v>3.254999999999999</v>
      </c>
      <c r="L13" s="208">
        <f t="shared" si="2"/>
        <v>4.1265999999999998</v>
      </c>
      <c r="M13" s="208">
        <f t="shared" si="2"/>
        <v>5.6232389999999981</v>
      </c>
      <c r="N13" s="208">
        <f t="shared" si="2"/>
        <v>10.486338000000003</v>
      </c>
      <c r="O13" s="208">
        <f t="shared" si="2"/>
        <v>16.225000000000001</v>
      </c>
      <c r="P13" s="208">
        <f t="shared" si="2"/>
        <v>17.722181999999997</v>
      </c>
      <c r="Q13" s="208">
        <f t="shared" si="2"/>
        <v>18.757357999999996</v>
      </c>
      <c r="R13" s="208">
        <f t="shared" si="2"/>
        <v>26.497630000000001</v>
      </c>
      <c r="S13" s="208">
        <f t="shared" si="2"/>
        <v>18.304513000000014</v>
      </c>
      <c r="T13" s="208">
        <f t="shared" si="2"/>
        <v>21.032851999999991</v>
      </c>
      <c r="U13" s="208">
        <f t="shared" si="2"/>
        <v>34.713384999999988</v>
      </c>
      <c r="V13" s="208">
        <f t="shared" si="2"/>
        <v>27.342368999999991</v>
      </c>
      <c r="W13" s="208">
        <f t="shared" si="2"/>
        <v>18.19560899999999</v>
      </c>
      <c r="X13" s="208">
        <f t="shared" si="2"/>
        <v>23.082397000000014</v>
      </c>
      <c r="Y13" s="208">
        <f t="shared" si="2"/>
        <v>30.896794999999997</v>
      </c>
      <c r="Z13" s="208">
        <f t="shared" si="2"/>
        <v>40.234167000000014</v>
      </c>
      <c r="AA13" s="208">
        <f t="shared" si="2"/>
        <v>78.748565999999983</v>
      </c>
      <c r="AB13" s="208">
        <f t="shared" si="2"/>
        <v>33.347000000000037</v>
      </c>
      <c r="AC13" s="208">
        <f t="shared" si="2"/>
        <v>35.462999999999965</v>
      </c>
      <c r="AD13" s="208">
        <f t="shared" si="2"/>
        <v>49.870000000000061</v>
      </c>
      <c r="AE13" s="208">
        <f t="shared" si="2"/>
        <v>69.669999999999959</v>
      </c>
      <c r="AF13" s="208">
        <f>AF4-AE4</f>
        <v>154.18999999999994</v>
      </c>
      <c r="AG13" s="208">
        <f t="shared" si="2"/>
        <v>-55.053546930850075</v>
      </c>
      <c r="AH13" s="208">
        <f t="shared" si="2"/>
        <v>22.217756930850101</v>
      </c>
      <c r="AI13" s="201">
        <f>SUM(C13:AH13)</f>
        <v>715.35420999999997</v>
      </c>
    </row>
    <row r="14" spans="1:35" x14ac:dyDescent="0.3">
      <c r="A14" s="337"/>
      <c r="B14" s="187" t="s">
        <v>18</v>
      </c>
      <c r="C14" s="208">
        <v>0.66274999999999995</v>
      </c>
      <c r="D14" s="208">
        <f t="shared" si="2"/>
        <v>5.2072500000000002</v>
      </c>
      <c r="E14" s="208">
        <f t="shared" si="2"/>
        <v>4.660000000000001</v>
      </c>
      <c r="F14" s="208">
        <f t="shared" si="2"/>
        <v>7.43</v>
      </c>
      <c r="G14" s="208">
        <f t="shared" si="2"/>
        <v>16.380000000000003</v>
      </c>
      <c r="H14" s="208">
        <f t="shared" si="2"/>
        <v>16.989999999999995</v>
      </c>
      <c r="I14" s="208">
        <f t="shared" si="2"/>
        <v>17.079999999999998</v>
      </c>
      <c r="J14" s="208">
        <f t="shared" si="2"/>
        <v>18.03</v>
      </c>
      <c r="K14" s="208">
        <f t="shared" si="2"/>
        <v>17.710099999999997</v>
      </c>
      <c r="L14" s="208">
        <f t="shared" si="2"/>
        <v>23.239999999999995</v>
      </c>
      <c r="M14" s="208">
        <f t="shared" si="2"/>
        <v>15.65006600000001</v>
      </c>
      <c r="N14" s="208">
        <f t="shared" si="2"/>
        <v>38.211146999999983</v>
      </c>
      <c r="O14" s="208">
        <f t="shared" si="2"/>
        <v>34.90300000000002</v>
      </c>
      <c r="P14" s="208">
        <f t="shared" si="2"/>
        <v>45.522411999999974</v>
      </c>
      <c r="Q14" s="208">
        <f t="shared" si="2"/>
        <v>48.337212000000022</v>
      </c>
      <c r="R14" s="208">
        <f t="shared" si="2"/>
        <v>55.594787999999994</v>
      </c>
      <c r="S14" s="208">
        <f t="shared" si="2"/>
        <v>61.580821000000014</v>
      </c>
      <c r="T14" s="208">
        <f t="shared" si="2"/>
        <v>60.934751000000006</v>
      </c>
      <c r="U14" s="208">
        <f t="shared" si="2"/>
        <v>66.595951999999954</v>
      </c>
      <c r="V14" s="208">
        <f t="shared" si="2"/>
        <v>73.658635000000004</v>
      </c>
      <c r="W14" s="208">
        <f t="shared" si="2"/>
        <v>44.525833000000034</v>
      </c>
      <c r="X14" s="208">
        <f t="shared" si="2"/>
        <v>152.56027899999992</v>
      </c>
      <c r="Y14" s="208">
        <f t="shared" si="2"/>
        <v>91.534447999999998</v>
      </c>
      <c r="Z14" s="208">
        <f t="shared" si="2"/>
        <v>141.279721</v>
      </c>
      <c r="AA14" s="208">
        <f t="shared" si="2"/>
        <v>406.82083499999999</v>
      </c>
      <c r="AB14" s="208">
        <f t="shared" si="2"/>
        <v>136.52600000000007</v>
      </c>
      <c r="AC14" s="208">
        <f t="shared" si="2"/>
        <v>54.574000000000069</v>
      </c>
      <c r="AD14" s="208">
        <f t="shared" si="2"/>
        <v>176.14999999999986</v>
      </c>
      <c r="AE14" s="208">
        <f t="shared" si="2"/>
        <v>-46.349999999999909</v>
      </c>
      <c r="AF14" s="208">
        <f t="shared" si="2"/>
        <v>34.311999999999671</v>
      </c>
      <c r="AG14" s="208">
        <f t="shared" si="2"/>
        <v>4.557677297535065</v>
      </c>
      <c r="AH14" s="208">
        <f t="shared" si="2"/>
        <v>86.852097702465016</v>
      </c>
      <c r="AI14" s="201">
        <f>SUM(C14:AH14)</f>
        <v>1911.7217749999998</v>
      </c>
    </row>
    <row r="15" spans="1:35" x14ac:dyDescent="0.3">
      <c r="A15" s="337"/>
      <c r="B15" s="182" t="s">
        <v>16</v>
      </c>
      <c r="C15" s="210">
        <f>SUM(C13:C14)</f>
        <v>0.66274999999999995</v>
      </c>
      <c r="D15" s="210">
        <f t="shared" ref="D15:AI15" si="3">SUM(D13:D14)</f>
        <v>5.7272499999999997</v>
      </c>
      <c r="E15" s="210">
        <f t="shared" si="3"/>
        <v>5.5200000000000014</v>
      </c>
      <c r="F15" s="210">
        <f t="shared" si="3"/>
        <v>8.17</v>
      </c>
      <c r="G15" s="210">
        <f t="shared" si="3"/>
        <v>17.611166000000004</v>
      </c>
      <c r="H15" s="210">
        <f t="shared" si="3"/>
        <v>18.458833999999996</v>
      </c>
      <c r="I15" s="210">
        <f t="shared" si="3"/>
        <v>19.899999999999999</v>
      </c>
      <c r="J15" s="210">
        <f t="shared" si="3"/>
        <v>20.795999999999999</v>
      </c>
      <c r="K15" s="210">
        <f t="shared" si="3"/>
        <v>20.965099999999996</v>
      </c>
      <c r="L15" s="210">
        <f t="shared" si="3"/>
        <v>27.366599999999995</v>
      </c>
      <c r="M15" s="210">
        <f t="shared" si="3"/>
        <v>21.273305000000008</v>
      </c>
      <c r="N15" s="210">
        <f t="shared" si="3"/>
        <v>48.697484999999986</v>
      </c>
      <c r="O15" s="210">
        <f t="shared" si="3"/>
        <v>51.128000000000021</v>
      </c>
      <c r="P15" s="210">
        <f t="shared" si="3"/>
        <v>63.244593999999971</v>
      </c>
      <c r="Q15" s="210">
        <f t="shared" si="3"/>
        <v>67.094570000000019</v>
      </c>
      <c r="R15" s="210">
        <f t="shared" si="3"/>
        <v>82.092417999999995</v>
      </c>
      <c r="S15" s="210">
        <f t="shared" si="3"/>
        <v>79.885334000000029</v>
      </c>
      <c r="T15" s="210">
        <f t="shared" si="3"/>
        <v>81.967602999999997</v>
      </c>
      <c r="U15" s="210">
        <f t="shared" si="3"/>
        <v>101.30933699999994</v>
      </c>
      <c r="V15" s="210">
        <f t="shared" si="3"/>
        <v>101.00100399999999</v>
      </c>
      <c r="W15" s="210">
        <f t="shared" si="3"/>
        <v>62.721442000000025</v>
      </c>
      <c r="X15" s="210">
        <f t="shared" si="3"/>
        <v>175.64267599999994</v>
      </c>
      <c r="Y15" s="210">
        <f t="shared" si="3"/>
        <v>122.43124299999999</v>
      </c>
      <c r="Z15" s="210">
        <f t="shared" si="3"/>
        <v>181.51388800000001</v>
      </c>
      <c r="AA15" s="210">
        <f t="shared" si="3"/>
        <v>485.56940099999997</v>
      </c>
      <c r="AB15" s="210">
        <f t="shared" si="3"/>
        <v>169.8730000000001</v>
      </c>
      <c r="AC15" s="210">
        <f t="shared" si="3"/>
        <v>90.037000000000035</v>
      </c>
      <c r="AD15" s="210">
        <f t="shared" si="3"/>
        <v>226.01999999999992</v>
      </c>
      <c r="AE15" s="210">
        <f t="shared" si="3"/>
        <v>23.32000000000005</v>
      </c>
      <c r="AF15" s="210">
        <f t="shared" si="3"/>
        <v>188.50199999999961</v>
      </c>
      <c r="AG15" s="210">
        <f t="shared" si="3"/>
        <v>-50.49586963331501</v>
      </c>
      <c r="AH15" s="210">
        <f t="shared" ref="AH15" si="4">SUM(AH13:AH14)</f>
        <v>109.06985463331512</v>
      </c>
      <c r="AI15" s="210">
        <f t="shared" si="3"/>
        <v>2627.0759849999995</v>
      </c>
    </row>
    <row r="16" spans="1:35" x14ac:dyDescent="0.3">
      <c r="A16" s="337" t="s">
        <v>259</v>
      </c>
      <c r="B16" s="185" t="s">
        <v>17</v>
      </c>
      <c r="C16" s="208">
        <f>C13/C$2</f>
        <v>0</v>
      </c>
      <c r="D16" s="208">
        <f t="shared" ref="D16:AG17" si="5">D13/D$2</f>
        <v>3.510839819216055E-2</v>
      </c>
      <c r="E16" s="208">
        <f t="shared" si="5"/>
        <v>5.7742744791973694E-2</v>
      </c>
      <c r="F16" s="208">
        <f t="shared" si="5"/>
        <v>4.9195991244709115E-2</v>
      </c>
      <c r="G16" s="208">
        <f t="shared" si="5"/>
        <v>7.6283450910287084E-2</v>
      </c>
      <c r="H16" s="208">
        <f t="shared" si="5"/>
        <v>7.4020507055949356E-2</v>
      </c>
      <c r="I16" s="208">
        <f t="shared" si="5"/>
        <v>0.12957476457023429</v>
      </c>
      <c r="J16" s="208">
        <f t="shared" si="5"/>
        <v>0.1353002778351583</v>
      </c>
      <c r="K16" s="208">
        <f t="shared" si="5"/>
        <v>0.1239141852962095</v>
      </c>
      <c r="L16" s="208">
        <f t="shared" si="5"/>
        <v>0.15877115603723413</v>
      </c>
      <c r="M16" s="208">
        <f t="shared" si="5"/>
        <v>0.19341760749802403</v>
      </c>
      <c r="N16" s="208">
        <f t="shared" si="5"/>
        <v>0.36498478240720078</v>
      </c>
      <c r="O16" s="208">
        <f t="shared" si="5"/>
        <v>0.54498557845558648</v>
      </c>
      <c r="P16" s="208">
        <f t="shared" si="5"/>
        <v>0.47443657220018159</v>
      </c>
      <c r="Q16" s="208">
        <f t="shared" si="5"/>
        <v>0.41262207447469607</v>
      </c>
      <c r="R16" s="208">
        <f t="shared" si="5"/>
        <v>0.59634206170378834</v>
      </c>
      <c r="S16" s="208">
        <f t="shared" si="5"/>
        <v>0.33735257088481235</v>
      </c>
      <c r="T16" s="208">
        <f t="shared" si="5"/>
        <v>0.37763432452103757</v>
      </c>
      <c r="U16" s="208">
        <f t="shared" si="5"/>
        <v>0.55648657641113319</v>
      </c>
      <c r="V16" s="208">
        <f t="shared" si="5"/>
        <v>0.45957828857217398</v>
      </c>
      <c r="W16" s="208">
        <f t="shared" si="5"/>
        <v>0.31472432991387567</v>
      </c>
      <c r="X16" s="208">
        <f t="shared" si="5"/>
        <v>0.39550887367720067</v>
      </c>
      <c r="Y16" s="208">
        <f t="shared" si="5"/>
        <v>0.51835924461687222</v>
      </c>
      <c r="Z16" s="208">
        <f t="shared" si="5"/>
        <v>0.66763303301255283</v>
      </c>
      <c r="AA16" s="208">
        <f t="shared" si="5"/>
        <v>1.2978788351102013</v>
      </c>
      <c r="AB16" s="208">
        <f t="shared" si="5"/>
        <v>0.47220478612622263</v>
      </c>
      <c r="AC16" s="208">
        <f t="shared" si="5"/>
        <v>0.43460592077801807</v>
      </c>
      <c r="AD16" s="208">
        <f t="shared" si="5"/>
        <v>0.58506794677859753</v>
      </c>
      <c r="AE16" s="208">
        <f t="shared" si="5"/>
        <v>0.80674833927316758</v>
      </c>
      <c r="AF16" s="208">
        <f t="shared" si="5"/>
        <v>1.6511027115242038</v>
      </c>
      <c r="AG16" s="208">
        <f>AG13/AG$2</f>
        <v>-0.54180332801353881</v>
      </c>
      <c r="AH16" s="208">
        <f t="shared" ref="AH16" si="6">AH13/AH$2</f>
        <v>0.22011384136262221</v>
      </c>
      <c r="AI16" s="201">
        <f>SUM(C16:AH16)</f>
        <v>11.979896447222544</v>
      </c>
    </row>
    <row r="17" spans="1:35" x14ac:dyDescent="0.3">
      <c r="A17" s="337"/>
      <c r="B17" s="187" t="s">
        <v>18</v>
      </c>
      <c r="C17" s="208">
        <f>C14/C$2</f>
        <v>4.6383685708204864E-2</v>
      </c>
      <c r="D17" s="208">
        <f t="shared" si="5"/>
        <v>0.35157347401178468</v>
      </c>
      <c r="E17" s="208">
        <f t="shared" si="5"/>
        <v>0.31288510550069476</v>
      </c>
      <c r="F17" s="208">
        <f t="shared" si="5"/>
        <v>0.4939543445245792</v>
      </c>
      <c r="G17" s="208">
        <f t="shared" si="5"/>
        <v>1.0149101956279678</v>
      </c>
      <c r="H17" s="208">
        <f t="shared" si="5"/>
        <v>0.85619506008206447</v>
      </c>
      <c r="I17" s="208">
        <f t="shared" si="5"/>
        <v>0.7848003471133338</v>
      </c>
      <c r="J17" s="208">
        <f t="shared" si="5"/>
        <v>0.88194649651768098</v>
      </c>
      <c r="K17" s="208">
        <f t="shared" si="5"/>
        <v>0.67420356774635948</v>
      </c>
      <c r="L17" s="208">
        <f t="shared" si="5"/>
        <v>0.89416024482753864</v>
      </c>
      <c r="M17" s="208">
        <f t="shared" si="5"/>
        <v>0.53830155945820091</v>
      </c>
      <c r="N17" s="208">
        <f t="shared" si="5"/>
        <v>1.3299673511691643</v>
      </c>
      <c r="O17" s="208">
        <f t="shared" si="5"/>
        <v>1.1723655867386962</v>
      </c>
      <c r="P17" s="208">
        <f t="shared" si="5"/>
        <v>1.2186703142741906</v>
      </c>
      <c r="Q17" s="208">
        <f t="shared" si="5"/>
        <v>1.0633160965293291</v>
      </c>
      <c r="R17" s="208">
        <f t="shared" si="5"/>
        <v>1.2511877664494908</v>
      </c>
      <c r="S17" s="208">
        <f t="shared" si="5"/>
        <v>1.1349358642618588</v>
      </c>
      <c r="T17" s="208">
        <f t="shared" si="5"/>
        <v>1.0940529384099993</v>
      </c>
      <c r="U17" s="208">
        <f t="shared" si="5"/>
        <v>1.0675926110726495</v>
      </c>
      <c r="V17" s="208">
        <f t="shared" si="5"/>
        <v>1.2380752162280615</v>
      </c>
      <c r="W17" s="208">
        <f t="shared" si="5"/>
        <v>0.77015080697668048</v>
      </c>
      <c r="X17" s="208">
        <f t="shared" si="5"/>
        <v>2.6140675127964146</v>
      </c>
      <c r="Y17" s="208">
        <f t="shared" si="5"/>
        <v>1.535684439816569</v>
      </c>
      <c r="Z17" s="208">
        <f t="shared" si="5"/>
        <v>2.3443509749909128</v>
      </c>
      <c r="AA17" s="208">
        <f t="shared" si="5"/>
        <v>6.7049367150172552</v>
      </c>
      <c r="AB17" s="208">
        <f t="shared" si="5"/>
        <v>1.9332542846633469</v>
      </c>
      <c r="AC17" s="208">
        <f t="shared" si="5"/>
        <v>0.6688149203547249</v>
      </c>
      <c r="AD17" s="208">
        <f t="shared" si="5"/>
        <v>2.0665674518758723</v>
      </c>
      <c r="AE17" s="208">
        <f t="shared" si="5"/>
        <v>-0.53671286816867037</v>
      </c>
      <c r="AF17" s="208">
        <f t="shared" si="5"/>
        <v>0.3674209497231854</v>
      </c>
      <c r="AG17" s="208">
        <f t="shared" si="5"/>
        <v>4.4853871648231708E-2</v>
      </c>
      <c r="AH17" s="208">
        <f t="shared" ref="AH17" si="7">AH14/AH$2</f>
        <v>0.86045359642702146</v>
      </c>
      <c r="AI17" s="201">
        <f>SUM(C17:AH17)</f>
        <v>36.793320482373389</v>
      </c>
    </row>
    <row r="18" spans="1:35" x14ac:dyDescent="0.3">
      <c r="A18" s="337"/>
      <c r="B18" s="182" t="s">
        <v>16</v>
      </c>
      <c r="C18" s="210">
        <f>C17+C16</f>
        <v>4.6383685708204864E-2</v>
      </c>
      <c r="D18" s="210">
        <f t="shared" ref="D18:AI18" si="8">D17+D16</f>
        <v>0.38668187220394523</v>
      </c>
      <c r="E18" s="210">
        <f t="shared" si="8"/>
        <v>0.37062785029266843</v>
      </c>
      <c r="F18" s="210">
        <f t="shared" si="8"/>
        <v>0.54315033576928828</v>
      </c>
      <c r="G18" s="210">
        <f t="shared" si="8"/>
        <v>1.0911936465382548</v>
      </c>
      <c r="H18" s="210">
        <f t="shared" si="8"/>
        <v>0.93021556713801379</v>
      </c>
      <c r="I18" s="210">
        <f t="shared" si="8"/>
        <v>0.91437511168356811</v>
      </c>
      <c r="J18" s="210">
        <f t="shared" si="8"/>
        <v>1.0172467743528393</v>
      </c>
      <c r="K18" s="210">
        <f t="shared" si="8"/>
        <v>0.79811775304256893</v>
      </c>
      <c r="L18" s="210">
        <f t="shared" si="8"/>
        <v>1.0529314008647728</v>
      </c>
      <c r="M18" s="210">
        <f t="shared" si="8"/>
        <v>0.73171916695622496</v>
      </c>
      <c r="N18" s="210">
        <f t="shared" si="8"/>
        <v>1.6949521335763651</v>
      </c>
      <c r="O18" s="210">
        <f t="shared" si="8"/>
        <v>1.7173511651942825</v>
      </c>
      <c r="P18" s="210">
        <f t="shared" si="8"/>
        <v>1.6931068864743721</v>
      </c>
      <c r="Q18" s="210">
        <f t="shared" si="8"/>
        <v>1.4759381710040251</v>
      </c>
      <c r="R18" s="210">
        <f t="shared" si="8"/>
        <v>1.847529828153279</v>
      </c>
      <c r="S18" s="210">
        <f t="shared" si="8"/>
        <v>1.4722884351466712</v>
      </c>
      <c r="T18" s="210">
        <f t="shared" si="8"/>
        <v>1.4716872629310369</v>
      </c>
      <c r="U18" s="210">
        <f t="shared" si="8"/>
        <v>1.6240791874837828</v>
      </c>
      <c r="V18" s="210">
        <f t="shared" si="8"/>
        <v>1.6976535048002355</v>
      </c>
      <c r="W18" s="210">
        <f t="shared" si="8"/>
        <v>1.084875136890556</v>
      </c>
      <c r="X18" s="210">
        <f t="shared" si="8"/>
        <v>3.0095763864736154</v>
      </c>
      <c r="Y18" s="210">
        <f t="shared" si="8"/>
        <v>2.0540436844334411</v>
      </c>
      <c r="Z18" s="210">
        <f t="shared" si="8"/>
        <v>3.0119840080034654</v>
      </c>
      <c r="AA18" s="210">
        <f t="shared" si="8"/>
        <v>8.0028155501274565</v>
      </c>
      <c r="AB18" s="210">
        <f t="shared" si="8"/>
        <v>2.4054590707895693</v>
      </c>
      <c r="AC18" s="210">
        <f t="shared" si="8"/>
        <v>1.1034208411327429</v>
      </c>
      <c r="AD18" s="210">
        <f t="shared" si="8"/>
        <v>2.6516353986544701</v>
      </c>
      <c r="AE18" s="210">
        <f t="shared" si="8"/>
        <v>0.27003547110449722</v>
      </c>
      <c r="AF18" s="210">
        <f t="shared" si="8"/>
        <v>2.0185236612473894</v>
      </c>
      <c r="AG18" s="210">
        <f t="shared" si="8"/>
        <v>-0.49694945636530707</v>
      </c>
      <c r="AH18" s="210">
        <f t="shared" ref="AH18" si="9">AH17+AH16</f>
        <v>1.0805674377896437</v>
      </c>
      <c r="AI18" s="210">
        <f t="shared" si="8"/>
        <v>48.773216929595932</v>
      </c>
    </row>
    <row r="19" spans="1:35" ht="28.2" x14ac:dyDescent="0.3">
      <c r="A19" s="211" t="s">
        <v>205</v>
      </c>
      <c r="B19" s="181" t="s">
        <v>250</v>
      </c>
      <c r="C19" s="212">
        <v>0</v>
      </c>
      <c r="D19" s="212">
        <f>D7-C7</f>
        <v>0</v>
      </c>
      <c r="E19" s="212">
        <f t="shared" ref="E19:AH19" si="10">E7-D7</f>
        <v>0</v>
      </c>
      <c r="F19" s="212">
        <f t="shared" si="10"/>
        <v>0</v>
      </c>
      <c r="G19" s="212">
        <f t="shared" si="10"/>
        <v>0</v>
      </c>
      <c r="H19" s="212">
        <f t="shared" si="10"/>
        <v>0</v>
      </c>
      <c r="I19" s="212">
        <f t="shared" si="10"/>
        <v>0</v>
      </c>
      <c r="J19" s="212">
        <f t="shared" si="10"/>
        <v>0</v>
      </c>
      <c r="K19" s="212">
        <f t="shared" si="10"/>
        <v>0</v>
      </c>
      <c r="L19" s="212">
        <f t="shared" si="10"/>
        <v>0</v>
      </c>
      <c r="M19" s="212">
        <f t="shared" si="10"/>
        <v>0</v>
      </c>
      <c r="N19" s="212">
        <f t="shared" si="10"/>
        <v>0</v>
      </c>
      <c r="O19" s="212">
        <f t="shared" si="10"/>
        <v>0</v>
      </c>
      <c r="P19" s="212">
        <f t="shared" si="10"/>
        <v>0</v>
      </c>
      <c r="Q19" s="212">
        <f t="shared" si="10"/>
        <v>0</v>
      </c>
      <c r="R19" s="212">
        <f t="shared" si="10"/>
        <v>0</v>
      </c>
      <c r="S19" s="212">
        <f t="shared" si="10"/>
        <v>0</v>
      </c>
      <c r="T19" s="212">
        <f t="shared" si="10"/>
        <v>0</v>
      </c>
      <c r="U19" s="212">
        <f t="shared" si="10"/>
        <v>0</v>
      </c>
      <c r="V19" s="212">
        <f t="shared" si="10"/>
        <v>0</v>
      </c>
      <c r="W19" s="212">
        <f t="shared" si="10"/>
        <v>0</v>
      </c>
      <c r="X19" s="212">
        <f t="shared" si="10"/>
        <v>0</v>
      </c>
      <c r="Y19" s="212">
        <f t="shared" si="10"/>
        <v>0</v>
      </c>
      <c r="Z19" s="212">
        <f t="shared" si="10"/>
        <v>0</v>
      </c>
      <c r="AA19" s="212">
        <f t="shared" si="10"/>
        <v>0</v>
      </c>
      <c r="AB19" s="212">
        <f t="shared" si="10"/>
        <v>0</v>
      </c>
      <c r="AC19" s="212">
        <f t="shared" si="10"/>
        <v>0</v>
      </c>
      <c r="AD19" s="212">
        <f t="shared" si="10"/>
        <v>0</v>
      </c>
      <c r="AE19" s="212">
        <f t="shared" si="10"/>
        <v>1106</v>
      </c>
      <c r="AF19" s="212">
        <f t="shared" si="10"/>
        <v>546.9050830000001</v>
      </c>
      <c r="AG19" s="212">
        <f t="shared" si="10"/>
        <v>224.39499999999998</v>
      </c>
      <c r="AH19" s="212">
        <f t="shared" si="10"/>
        <v>271.04549999999972</v>
      </c>
      <c r="AI19" s="201">
        <f>SUM(C19:AH19)</f>
        <v>2148.3455829999998</v>
      </c>
    </row>
    <row r="20" spans="1:35" ht="28.2" x14ac:dyDescent="0.3">
      <c r="A20" s="211" t="s">
        <v>205</v>
      </c>
      <c r="B20" s="181" t="s">
        <v>260</v>
      </c>
      <c r="C20" s="212">
        <f>C19/C$2</f>
        <v>0</v>
      </c>
      <c r="D20" s="212">
        <f t="shared" ref="D20:AG20" si="11">D19/D$2</f>
        <v>0</v>
      </c>
      <c r="E20" s="212">
        <f t="shared" si="11"/>
        <v>0</v>
      </c>
      <c r="F20" s="212">
        <f t="shared" si="11"/>
        <v>0</v>
      </c>
      <c r="G20" s="212">
        <f t="shared" si="11"/>
        <v>0</v>
      </c>
      <c r="H20" s="212">
        <f t="shared" si="11"/>
        <v>0</v>
      </c>
      <c r="I20" s="212">
        <f t="shared" si="11"/>
        <v>0</v>
      </c>
      <c r="J20" s="212">
        <f t="shared" si="11"/>
        <v>0</v>
      </c>
      <c r="K20" s="212">
        <f t="shared" si="11"/>
        <v>0</v>
      </c>
      <c r="L20" s="212">
        <f t="shared" si="11"/>
        <v>0</v>
      </c>
      <c r="M20" s="212">
        <f t="shared" si="11"/>
        <v>0</v>
      </c>
      <c r="N20" s="212">
        <f t="shared" si="11"/>
        <v>0</v>
      </c>
      <c r="O20" s="212">
        <f t="shared" si="11"/>
        <v>0</v>
      </c>
      <c r="P20" s="212">
        <f t="shared" si="11"/>
        <v>0</v>
      </c>
      <c r="Q20" s="212">
        <f t="shared" si="11"/>
        <v>0</v>
      </c>
      <c r="R20" s="212">
        <f t="shared" si="11"/>
        <v>0</v>
      </c>
      <c r="S20" s="212">
        <f t="shared" si="11"/>
        <v>0</v>
      </c>
      <c r="T20" s="212">
        <f t="shared" si="11"/>
        <v>0</v>
      </c>
      <c r="U20" s="212">
        <f t="shared" si="11"/>
        <v>0</v>
      </c>
      <c r="V20" s="212">
        <f t="shared" si="11"/>
        <v>0</v>
      </c>
      <c r="W20" s="212">
        <f t="shared" si="11"/>
        <v>0</v>
      </c>
      <c r="X20" s="212">
        <f t="shared" si="11"/>
        <v>0</v>
      </c>
      <c r="Y20" s="212">
        <f t="shared" si="11"/>
        <v>0</v>
      </c>
      <c r="Z20" s="212">
        <f t="shared" si="11"/>
        <v>0</v>
      </c>
      <c r="AA20" s="212">
        <f t="shared" si="11"/>
        <v>0</v>
      </c>
      <c r="AB20" s="212">
        <f t="shared" si="11"/>
        <v>0</v>
      </c>
      <c r="AC20" s="212">
        <f t="shared" si="11"/>
        <v>0</v>
      </c>
      <c r="AD20" s="212">
        <f t="shared" si="11"/>
        <v>0</v>
      </c>
      <c r="AE20" s="212">
        <f t="shared" si="11"/>
        <v>12.806999615847909</v>
      </c>
      <c r="AF20" s="212">
        <f t="shared" si="11"/>
        <v>5.8563879984932248</v>
      </c>
      <c r="AG20" s="212">
        <f t="shared" si="11"/>
        <v>2.2083583087263361</v>
      </c>
      <c r="AH20" s="212">
        <f t="shared" ref="AH20" si="12">AH19/AH$2</f>
        <v>2.6852785533093777</v>
      </c>
      <c r="AI20" s="201">
        <f>SUM(C20:AH20)</f>
        <v>23.557024476376846</v>
      </c>
    </row>
    <row r="21" spans="1:35" x14ac:dyDescent="0.3">
      <c r="A21" s="337" t="s">
        <v>20</v>
      </c>
      <c r="B21" s="185" t="s">
        <v>17</v>
      </c>
      <c r="C21" s="208">
        <v>0</v>
      </c>
      <c r="D21" s="208">
        <f>D8-C8</f>
        <v>0</v>
      </c>
      <c r="E21" s="208">
        <f t="shared" ref="E21:AH21" si="13">E8-D8</f>
        <v>0</v>
      </c>
      <c r="F21" s="208">
        <f t="shared" si="13"/>
        <v>0</v>
      </c>
      <c r="G21" s="208">
        <f t="shared" si="13"/>
        <v>0.72933599999999998</v>
      </c>
      <c r="H21" s="208">
        <f t="shared" si="13"/>
        <v>1.949363</v>
      </c>
      <c r="I21" s="208">
        <f t="shared" si="13"/>
        <v>1.221301</v>
      </c>
      <c r="J21" s="208">
        <f t="shared" si="13"/>
        <v>2.1800000000000002</v>
      </c>
      <c r="K21" s="208">
        <f t="shared" si="13"/>
        <v>2.0181000000000004</v>
      </c>
      <c r="L21" s="208">
        <f t="shared" si="13"/>
        <v>2.9880000000000013</v>
      </c>
      <c r="M21" s="208">
        <f t="shared" si="13"/>
        <v>5.5719999999999992</v>
      </c>
      <c r="N21" s="208">
        <f t="shared" si="13"/>
        <v>11.177299999999999</v>
      </c>
      <c r="O21" s="208">
        <f t="shared" si="13"/>
        <v>24.120340000000006</v>
      </c>
      <c r="P21" s="208">
        <f t="shared" si="13"/>
        <v>37.729725000000002</v>
      </c>
      <c r="Q21" s="208">
        <f t="shared" si="13"/>
        <v>81.712613999999988</v>
      </c>
      <c r="R21" s="208">
        <f t="shared" si="13"/>
        <v>86.395415000000014</v>
      </c>
      <c r="S21" s="208">
        <f t="shared" si="13"/>
        <v>135.85985000000005</v>
      </c>
      <c r="T21" s="208">
        <f t="shared" si="13"/>
        <v>200.17316600000004</v>
      </c>
      <c r="U21" s="208">
        <f t="shared" si="13"/>
        <v>243.97975999999994</v>
      </c>
      <c r="V21" s="208">
        <f t="shared" si="13"/>
        <v>291.80744000000004</v>
      </c>
      <c r="W21" s="208">
        <f t="shared" si="13"/>
        <v>435.03585100000009</v>
      </c>
      <c r="X21" s="208">
        <f t="shared" si="13"/>
        <v>577.2259210000002</v>
      </c>
      <c r="Y21" s="208">
        <f t="shared" si="13"/>
        <v>822.08119100000022</v>
      </c>
      <c r="Z21" s="208">
        <f t="shared" si="13"/>
        <v>1235.2688799999996</v>
      </c>
      <c r="AA21" s="208">
        <f t="shared" si="13"/>
        <v>3863.074447</v>
      </c>
      <c r="AB21" s="208">
        <f t="shared" si="13"/>
        <v>4226.8900000000003</v>
      </c>
      <c r="AC21" s="208">
        <f t="shared" si="13"/>
        <v>4003.1999999999989</v>
      </c>
      <c r="AD21" s="208">
        <f t="shared" si="13"/>
        <v>2173.7400000000016</v>
      </c>
      <c r="AE21" s="208">
        <f t="shared" si="13"/>
        <v>8379.869999999999</v>
      </c>
      <c r="AF21" s="208">
        <f t="shared" si="13"/>
        <v>7935.0157099999997</v>
      </c>
      <c r="AG21" s="208">
        <f t="shared" si="13"/>
        <v>8441.3073999999979</v>
      </c>
      <c r="AH21" s="208">
        <f t="shared" si="13"/>
        <v>9334.1480999999985</v>
      </c>
      <c r="AI21" s="201">
        <f>SUM(C21:AH21)</f>
        <v>52556.471209999996</v>
      </c>
    </row>
    <row r="22" spans="1:35" x14ac:dyDescent="0.3">
      <c r="A22" s="337"/>
      <c r="B22" s="187" t="s">
        <v>18</v>
      </c>
      <c r="C22" s="208">
        <v>0.71</v>
      </c>
      <c r="D22" s="208">
        <f t="shared" ref="D22:AH22" si="14">D9-C9</f>
        <v>2.81</v>
      </c>
      <c r="E22" s="208">
        <f t="shared" si="14"/>
        <v>5.0500000000000007</v>
      </c>
      <c r="F22" s="208">
        <f t="shared" si="14"/>
        <v>16.18</v>
      </c>
      <c r="G22" s="208">
        <f t="shared" si="14"/>
        <v>25.267663999999996</v>
      </c>
      <c r="H22" s="208">
        <f t="shared" si="14"/>
        <v>32.603636999999992</v>
      </c>
      <c r="I22" s="208">
        <f t="shared" si="14"/>
        <v>28.878699000000012</v>
      </c>
      <c r="J22" s="208">
        <f t="shared" si="14"/>
        <v>11.870000000000005</v>
      </c>
      <c r="K22" s="208">
        <f t="shared" si="14"/>
        <v>9.6295650000000137</v>
      </c>
      <c r="L22" s="208">
        <f t="shared" si="14"/>
        <v>11.874988000000002</v>
      </c>
      <c r="M22" s="208">
        <f t="shared" si="14"/>
        <v>8.342000000000013</v>
      </c>
      <c r="N22" s="208">
        <f t="shared" si="14"/>
        <v>175.777874</v>
      </c>
      <c r="O22" s="208">
        <f t="shared" si="14"/>
        <v>112.11250000000001</v>
      </c>
      <c r="P22" s="208">
        <f t="shared" si="14"/>
        <v>178.47961999999995</v>
      </c>
      <c r="Q22" s="208">
        <f t="shared" si="14"/>
        <v>321.51963599999999</v>
      </c>
      <c r="R22" s="208">
        <f t="shared" si="14"/>
        <v>682.99258899999984</v>
      </c>
      <c r="S22" s="208">
        <f t="shared" si="14"/>
        <v>1177.7103360000001</v>
      </c>
      <c r="T22" s="208">
        <f t="shared" si="14"/>
        <v>972.0045070000001</v>
      </c>
      <c r="U22" s="208">
        <f t="shared" si="14"/>
        <v>918.54579099999955</v>
      </c>
      <c r="V22" s="208">
        <f t="shared" si="14"/>
        <v>801.54886400000032</v>
      </c>
      <c r="W22" s="208">
        <f t="shared" si="14"/>
        <v>1053.0482499999998</v>
      </c>
      <c r="X22" s="208">
        <f t="shared" si="14"/>
        <v>1534.4900109999999</v>
      </c>
      <c r="Y22" s="208">
        <f t="shared" si="14"/>
        <v>1776.1957000000002</v>
      </c>
      <c r="Z22" s="208">
        <f t="shared" si="14"/>
        <v>2841.4591820000005</v>
      </c>
      <c r="AA22" s="208">
        <f t="shared" si="14"/>
        <v>7096.828587</v>
      </c>
      <c r="AB22" s="208">
        <f t="shared" si="14"/>
        <v>8761.23</v>
      </c>
      <c r="AC22" s="208">
        <f t="shared" si="14"/>
        <v>7059.16</v>
      </c>
      <c r="AD22" s="208">
        <f t="shared" si="14"/>
        <v>8053.4100000000035</v>
      </c>
      <c r="AE22" s="208">
        <f t="shared" si="14"/>
        <v>2607.2699999999968</v>
      </c>
      <c r="AF22" s="208">
        <f t="shared" si="14"/>
        <v>4080.7620020000031</v>
      </c>
      <c r="AG22" s="208">
        <f t="shared" si="14"/>
        <v>4113.091800000002</v>
      </c>
      <c r="AH22" s="208">
        <f t="shared" si="14"/>
        <v>4639.3933999999936</v>
      </c>
      <c r="AI22" s="201">
        <f>SUM(C22:AH22)</f>
        <v>59110.247201999999</v>
      </c>
    </row>
    <row r="23" spans="1:35" x14ac:dyDescent="0.3">
      <c r="A23" s="337"/>
      <c r="B23" s="182" t="s">
        <v>16</v>
      </c>
      <c r="C23" s="210">
        <f>SUM(C21:C22)</f>
        <v>0.71</v>
      </c>
      <c r="D23" s="210">
        <f t="shared" ref="D23:AI23" si="15">SUM(D21:D22)</f>
        <v>2.81</v>
      </c>
      <c r="E23" s="210">
        <f t="shared" si="15"/>
        <v>5.0500000000000007</v>
      </c>
      <c r="F23" s="210">
        <f t="shared" si="15"/>
        <v>16.18</v>
      </c>
      <c r="G23" s="210">
        <f t="shared" si="15"/>
        <v>25.996999999999996</v>
      </c>
      <c r="H23" s="210">
        <f t="shared" si="15"/>
        <v>34.55299999999999</v>
      </c>
      <c r="I23" s="210">
        <f t="shared" si="15"/>
        <v>30.100000000000012</v>
      </c>
      <c r="J23" s="210">
        <f t="shared" si="15"/>
        <v>14.050000000000004</v>
      </c>
      <c r="K23" s="210">
        <f t="shared" si="15"/>
        <v>11.647665000000014</v>
      </c>
      <c r="L23" s="210">
        <f t="shared" si="15"/>
        <v>14.862988000000003</v>
      </c>
      <c r="M23" s="210">
        <f t="shared" si="15"/>
        <v>13.914000000000012</v>
      </c>
      <c r="N23" s="210">
        <f t="shared" si="15"/>
        <v>186.955174</v>
      </c>
      <c r="O23" s="210">
        <f t="shared" si="15"/>
        <v>136.23284000000001</v>
      </c>
      <c r="P23" s="210">
        <f t="shared" si="15"/>
        <v>216.20934499999996</v>
      </c>
      <c r="Q23" s="210">
        <f t="shared" si="15"/>
        <v>403.23224999999996</v>
      </c>
      <c r="R23" s="210">
        <f t="shared" si="15"/>
        <v>769.38800399999991</v>
      </c>
      <c r="S23" s="210">
        <f t="shared" si="15"/>
        <v>1313.5701860000001</v>
      </c>
      <c r="T23" s="210">
        <f t="shared" si="15"/>
        <v>1172.1776730000001</v>
      </c>
      <c r="U23" s="210">
        <f t="shared" si="15"/>
        <v>1162.5255509999995</v>
      </c>
      <c r="V23" s="210">
        <f t="shared" si="15"/>
        <v>1093.3563040000004</v>
      </c>
      <c r="W23" s="210">
        <f t="shared" si="15"/>
        <v>1488.0841009999999</v>
      </c>
      <c r="X23" s="210">
        <f t="shared" si="15"/>
        <v>2111.7159320000001</v>
      </c>
      <c r="Y23" s="210">
        <f t="shared" si="15"/>
        <v>2598.2768910000004</v>
      </c>
      <c r="Z23" s="210">
        <f t="shared" si="15"/>
        <v>4076.7280620000001</v>
      </c>
      <c r="AA23" s="210">
        <f t="shared" si="15"/>
        <v>10959.903033999999</v>
      </c>
      <c r="AB23" s="210">
        <f t="shared" si="15"/>
        <v>12988.119999999999</v>
      </c>
      <c r="AC23" s="210">
        <f t="shared" si="15"/>
        <v>11062.359999999999</v>
      </c>
      <c r="AD23" s="210">
        <f t="shared" si="15"/>
        <v>10227.150000000005</v>
      </c>
      <c r="AE23" s="210">
        <f t="shared" si="15"/>
        <v>10987.139999999996</v>
      </c>
      <c r="AF23" s="210">
        <f t="shared" si="15"/>
        <v>12015.777712000003</v>
      </c>
      <c r="AG23" s="210">
        <f t="shared" si="15"/>
        <v>12554.3992</v>
      </c>
      <c r="AH23" s="210">
        <f t="shared" ref="AH23" si="16">SUM(AH21:AH22)</f>
        <v>13973.541499999992</v>
      </c>
      <c r="AI23" s="210">
        <f t="shared" si="15"/>
        <v>111666.71841199999</v>
      </c>
    </row>
    <row r="24" spans="1:35" x14ac:dyDescent="0.3">
      <c r="A24" s="337" t="s">
        <v>261</v>
      </c>
      <c r="B24" s="185" t="s">
        <v>17</v>
      </c>
      <c r="C24" s="208">
        <f>C21/C$2</f>
        <v>0</v>
      </c>
      <c r="D24" s="208">
        <f t="shared" ref="D24:AG24" si="17">D21/D$2</f>
        <v>0</v>
      </c>
      <c r="E24" s="208">
        <f t="shared" si="17"/>
        <v>0</v>
      </c>
      <c r="F24" s="208">
        <f t="shared" si="17"/>
        <v>0</v>
      </c>
      <c r="G24" s="208">
        <f t="shared" si="17"/>
        <v>4.5189898805770415E-2</v>
      </c>
      <c r="H24" s="208">
        <f t="shared" si="17"/>
        <v>9.8236313767319242E-2</v>
      </c>
      <c r="I24" s="208">
        <f t="shared" si="17"/>
        <v>5.6116946646947406E-2</v>
      </c>
      <c r="J24" s="208">
        <f t="shared" si="17"/>
        <v>0.10663579381079005</v>
      </c>
      <c r="K24" s="208">
        <f t="shared" si="17"/>
        <v>7.6826794883649921E-2</v>
      </c>
      <c r="L24" s="208">
        <f t="shared" si="17"/>
        <v>0.11496346004925503</v>
      </c>
      <c r="M24" s="208">
        <f t="shared" si="17"/>
        <v>0.19165518466830062</v>
      </c>
      <c r="N24" s="208">
        <f t="shared" si="17"/>
        <v>0.38903422800218757</v>
      </c>
      <c r="O24" s="208">
        <f t="shared" si="17"/>
        <v>0.81018412619078117</v>
      </c>
      <c r="P24" s="208">
        <f t="shared" si="17"/>
        <v>1.0100540327966105</v>
      </c>
      <c r="Q24" s="208">
        <f t="shared" si="17"/>
        <v>1.7975041207525118</v>
      </c>
      <c r="R24" s="208">
        <f t="shared" si="17"/>
        <v>1.944370870257242</v>
      </c>
      <c r="S24" s="208">
        <f t="shared" si="17"/>
        <v>2.5038999768813817</v>
      </c>
      <c r="T24" s="208">
        <f t="shared" si="17"/>
        <v>3.5940089498869465</v>
      </c>
      <c r="U24" s="208">
        <f t="shared" si="17"/>
        <v>3.9112135378330275</v>
      </c>
      <c r="V24" s="208">
        <f t="shared" si="17"/>
        <v>4.9047821667474167</v>
      </c>
      <c r="W24" s="208">
        <f t="shared" si="17"/>
        <v>7.5246927263873253</v>
      </c>
      <c r="X24" s="208">
        <f t="shared" si="17"/>
        <v>9.8905661258661635</v>
      </c>
      <c r="Y24" s="208">
        <f t="shared" si="17"/>
        <v>13.792154985023489</v>
      </c>
      <c r="Z24" s="208">
        <f t="shared" si="17"/>
        <v>20.497660829921458</v>
      </c>
      <c r="AA24" s="208">
        <f t="shared" si="17"/>
        <v>63.668493509029055</v>
      </c>
      <c r="AB24" s="208">
        <f t="shared" si="17"/>
        <v>59.85419043479375</v>
      </c>
      <c r="AC24" s="208">
        <f t="shared" si="17"/>
        <v>49.059989906622768</v>
      </c>
      <c r="AD24" s="208">
        <f t="shared" si="17"/>
        <v>25.502017217375336</v>
      </c>
      <c r="AE24" s="208">
        <f t="shared" si="17"/>
        <v>97.035254856107954</v>
      </c>
      <c r="AF24" s="208">
        <f t="shared" si="17"/>
        <v>84.970010732006998</v>
      </c>
      <c r="AG24" s="208">
        <f t="shared" si="17"/>
        <v>83.074183173881337</v>
      </c>
      <c r="AH24" s="208">
        <f t="shared" ref="AH24" si="18">AH21/AH$2</f>
        <v>92.47446538069623</v>
      </c>
      <c r="AI24" s="201">
        <f>SUM(C24:AH24)</f>
        <v>628.89835627969194</v>
      </c>
    </row>
    <row r="25" spans="1:35" x14ac:dyDescent="0.3">
      <c r="A25" s="337"/>
      <c r="B25" s="187" t="s">
        <v>18</v>
      </c>
      <c r="C25" s="208">
        <f t="shared" ref="C25:AG25" si="19">C22/C$2</f>
        <v>4.9690557303395631E-2</v>
      </c>
      <c r="D25" s="208">
        <f t="shared" si="19"/>
        <v>0.18972038253840606</v>
      </c>
      <c r="E25" s="208">
        <f t="shared" si="19"/>
        <v>0.33907076883658982</v>
      </c>
      <c r="F25" s="208">
        <f t="shared" si="19"/>
        <v>1.0756637004586396</v>
      </c>
      <c r="G25" s="208">
        <f t="shared" si="19"/>
        <v>1.5655927846948567</v>
      </c>
      <c r="H25" s="208">
        <f t="shared" si="19"/>
        <v>1.6430296021252984</v>
      </c>
      <c r="I25" s="208">
        <f t="shared" si="19"/>
        <v>1.326932845397043</v>
      </c>
      <c r="J25" s="208">
        <f t="shared" si="19"/>
        <v>0.58062700574957726</v>
      </c>
      <c r="K25" s="208">
        <f t="shared" si="19"/>
        <v>0.36658669792070525</v>
      </c>
      <c r="L25" s="208">
        <f t="shared" si="19"/>
        <v>0.45689079937194865</v>
      </c>
      <c r="M25" s="208">
        <f t="shared" si="19"/>
        <v>0.28693243907088417</v>
      </c>
      <c r="N25" s="208">
        <f t="shared" si="19"/>
        <v>6.1180794567074166</v>
      </c>
      <c r="O25" s="208">
        <f t="shared" si="19"/>
        <v>3.7657747713159906</v>
      </c>
      <c r="P25" s="208">
        <f t="shared" si="19"/>
        <v>4.7780380045973443</v>
      </c>
      <c r="Q25" s="208">
        <f t="shared" si="19"/>
        <v>7.0727497545586751</v>
      </c>
      <c r="R25" s="208">
        <f t="shared" si="19"/>
        <v>15.371080683542944</v>
      </c>
      <c r="S25" s="208">
        <f t="shared" si="19"/>
        <v>21.705226990044252</v>
      </c>
      <c r="T25" s="208">
        <f t="shared" si="19"/>
        <v>17.451854148564792</v>
      </c>
      <c r="U25" s="208">
        <f t="shared" si="19"/>
        <v>14.725109709423215</v>
      </c>
      <c r="V25" s="208">
        <f t="shared" si="19"/>
        <v>13.472660511753407</v>
      </c>
      <c r="W25" s="208">
        <f t="shared" si="19"/>
        <v>18.214279326854601</v>
      </c>
      <c r="X25" s="208">
        <f t="shared" si="19"/>
        <v>26.292954580043176</v>
      </c>
      <c r="Y25" s="208">
        <f t="shared" si="19"/>
        <v>29.799448821268896</v>
      </c>
      <c r="Z25" s="208">
        <f t="shared" si="19"/>
        <v>47.150274339220864</v>
      </c>
      <c r="AA25" s="208">
        <f t="shared" si="19"/>
        <v>116.96496948874393</v>
      </c>
      <c r="AB25" s="208">
        <f t="shared" si="19"/>
        <v>124.06197674011577</v>
      </c>
      <c r="AC25" s="208">
        <f t="shared" si="19"/>
        <v>86.511370490916079</v>
      </c>
      <c r="AD25" s="208">
        <f t="shared" si="19"/>
        <v>94.481492946986592</v>
      </c>
      <c r="AE25" s="208">
        <f t="shared" si="19"/>
        <v>30.191054148654374</v>
      </c>
      <c r="AF25" s="208">
        <f t="shared" si="19"/>
        <v>43.697757355127742</v>
      </c>
      <c r="AG25" s="208">
        <f t="shared" si="19"/>
        <v>40.478533171791554</v>
      </c>
      <c r="AH25" s="208">
        <f t="shared" ref="AH25" si="20">AH22/AH$2</f>
        <v>45.962997346884826</v>
      </c>
      <c r="AI25" s="201">
        <f>SUM(C25:AH25)</f>
        <v>816.14842037058372</v>
      </c>
    </row>
    <row r="26" spans="1:35" x14ac:dyDescent="0.3">
      <c r="A26" s="337"/>
      <c r="B26" s="182" t="s">
        <v>16</v>
      </c>
      <c r="C26" s="210">
        <f>SUM(C24:C25)</f>
        <v>4.9690557303395631E-2</v>
      </c>
      <c r="D26" s="210">
        <f t="shared" ref="D26:AI26" si="21">SUM(D24:D25)</f>
        <v>0.18972038253840606</v>
      </c>
      <c r="E26" s="210">
        <f t="shared" si="21"/>
        <v>0.33907076883658982</v>
      </c>
      <c r="F26" s="210">
        <f t="shared" si="21"/>
        <v>1.0756637004586396</v>
      </c>
      <c r="G26" s="210">
        <f t="shared" si="21"/>
        <v>1.6107826835006271</v>
      </c>
      <c r="H26" s="210">
        <f t="shared" si="21"/>
        <v>1.7412659158926176</v>
      </c>
      <c r="I26" s="210">
        <f t="shared" si="21"/>
        <v>1.3830497920439904</v>
      </c>
      <c r="J26" s="210">
        <f t="shared" si="21"/>
        <v>0.68726279956036729</v>
      </c>
      <c r="K26" s="210">
        <f t="shared" si="21"/>
        <v>0.44341349280435516</v>
      </c>
      <c r="L26" s="210">
        <f t="shared" si="21"/>
        <v>0.57185425942120371</v>
      </c>
      <c r="M26" s="210">
        <f t="shared" si="21"/>
        <v>0.47858762373918479</v>
      </c>
      <c r="N26" s="210">
        <f t="shared" si="21"/>
        <v>6.5071136847096041</v>
      </c>
      <c r="O26" s="210">
        <f t="shared" si="21"/>
        <v>4.575958897506772</v>
      </c>
      <c r="P26" s="210">
        <f t="shared" si="21"/>
        <v>5.7880920373939553</v>
      </c>
      <c r="Q26" s="210">
        <f t="shared" si="21"/>
        <v>8.870253875311187</v>
      </c>
      <c r="R26" s="210">
        <f t="shared" si="21"/>
        <v>17.315451553800187</v>
      </c>
      <c r="S26" s="210">
        <f t="shared" si="21"/>
        <v>24.209126966925634</v>
      </c>
      <c r="T26" s="210">
        <f t="shared" si="21"/>
        <v>21.04586309845174</v>
      </c>
      <c r="U26" s="210">
        <f t="shared" si="21"/>
        <v>18.636323247256243</v>
      </c>
      <c r="V26" s="210">
        <f t="shared" si="21"/>
        <v>18.377442678500824</v>
      </c>
      <c r="W26" s="210">
        <f t="shared" si="21"/>
        <v>25.738972053241927</v>
      </c>
      <c r="X26" s="210">
        <f t="shared" si="21"/>
        <v>36.183520705909338</v>
      </c>
      <c r="Y26" s="210">
        <f t="shared" si="21"/>
        <v>43.591603806292383</v>
      </c>
      <c r="Z26" s="210">
        <f t="shared" si="21"/>
        <v>67.647935169142329</v>
      </c>
      <c r="AA26" s="210">
        <f t="shared" si="21"/>
        <v>180.63346299777299</v>
      </c>
      <c r="AB26" s="210">
        <f t="shared" si="21"/>
        <v>183.9161671749095</v>
      </c>
      <c r="AC26" s="210">
        <f t="shared" si="21"/>
        <v>135.57136039753885</v>
      </c>
      <c r="AD26" s="210">
        <f t="shared" si="21"/>
        <v>119.98351016436193</v>
      </c>
      <c r="AE26" s="210">
        <f t="shared" si="21"/>
        <v>127.22630900476233</v>
      </c>
      <c r="AF26" s="210">
        <f t="shared" si="21"/>
        <v>128.66776808713473</v>
      </c>
      <c r="AG26" s="210">
        <f t="shared" si="21"/>
        <v>123.55271634567289</v>
      </c>
      <c r="AH26" s="210">
        <f t="shared" ref="AH26" si="22">SUM(AH24:AH25)</f>
        <v>138.43746272758105</v>
      </c>
      <c r="AI26" s="210">
        <f t="shared" si="21"/>
        <v>1445.0467766502757</v>
      </c>
    </row>
    <row r="27" spans="1:35" x14ac:dyDescent="0.3">
      <c r="A27" s="340" t="s">
        <v>305</v>
      </c>
      <c r="B27" s="340"/>
      <c r="C27" s="208">
        <v>9.5</v>
      </c>
      <c r="D27" s="208">
        <f>D11-C11</f>
        <v>19.32</v>
      </c>
      <c r="E27" s="208">
        <f t="shared" ref="E27:AH27" si="23">E11-D11</f>
        <v>18.68</v>
      </c>
      <c r="F27" s="208">
        <f t="shared" si="23"/>
        <v>17.620000000000005</v>
      </c>
      <c r="G27" s="208">
        <f t="shared" si="23"/>
        <v>25.75</v>
      </c>
      <c r="H27" s="208">
        <f t="shared" si="23"/>
        <v>33.409999999999997</v>
      </c>
      <c r="I27" s="208">
        <f t="shared" si="23"/>
        <v>26.72</v>
      </c>
      <c r="J27" s="208">
        <f t="shared" si="23"/>
        <v>38.054000000000002</v>
      </c>
      <c r="K27" s="208">
        <f t="shared" si="23"/>
        <v>34.210999999999984</v>
      </c>
      <c r="L27" s="208">
        <f t="shared" si="23"/>
        <v>28.794999999999987</v>
      </c>
      <c r="M27" s="208">
        <f t="shared" si="23"/>
        <v>26.764172000000002</v>
      </c>
      <c r="N27" s="208">
        <f t="shared" si="23"/>
        <v>27.531979999999976</v>
      </c>
      <c r="O27" s="208">
        <f t="shared" si="23"/>
        <v>63.613</v>
      </c>
      <c r="P27" s="208">
        <f t="shared" si="23"/>
        <v>92.892129000000011</v>
      </c>
      <c r="Q27" s="208">
        <f t="shared" si="23"/>
        <v>147.68480599999998</v>
      </c>
      <c r="R27" s="208">
        <f t="shared" si="23"/>
        <v>212.17764599999998</v>
      </c>
      <c r="S27" s="208">
        <f t="shared" si="23"/>
        <v>230.03763600000013</v>
      </c>
      <c r="T27" s="208">
        <f t="shared" si="23"/>
        <v>275.72997299999997</v>
      </c>
      <c r="U27" s="208">
        <f t="shared" si="23"/>
        <v>308.00303000000008</v>
      </c>
      <c r="V27" s="208">
        <f t="shared" si="23"/>
        <v>673.76636099999996</v>
      </c>
      <c r="W27" s="208">
        <f t="shared" si="23"/>
        <v>465.20854599999984</v>
      </c>
      <c r="X27" s="208">
        <f t="shared" si="23"/>
        <v>1050.2807210000001</v>
      </c>
      <c r="Y27" s="208">
        <f t="shared" si="23"/>
        <v>587.22177600000032</v>
      </c>
      <c r="Z27" s="208">
        <f t="shared" si="23"/>
        <v>1286.0158959999999</v>
      </c>
      <c r="AA27" s="208">
        <f t="shared" si="23"/>
        <v>2062.4623279999996</v>
      </c>
      <c r="AB27" s="208">
        <f t="shared" si="23"/>
        <v>1432.8000000000002</v>
      </c>
      <c r="AC27" s="208">
        <f t="shared" si="23"/>
        <v>1760.8099999999995</v>
      </c>
      <c r="AD27" s="208">
        <f t="shared" si="23"/>
        <v>1216.7800000000007</v>
      </c>
      <c r="AE27" s="208">
        <f t="shared" si="23"/>
        <v>4193.16</v>
      </c>
      <c r="AF27" s="208">
        <f t="shared" si="23"/>
        <v>1102.0139999999992</v>
      </c>
      <c r="AG27" s="208">
        <f t="shared" si="23"/>
        <v>1342.6579620000011</v>
      </c>
      <c r="AH27" s="208">
        <f t="shared" si="23"/>
        <v>1221.4458750000013</v>
      </c>
      <c r="AI27" s="201">
        <f>SUM(C27:AH27)</f>
        <v>20031.117837000002</v>
      </c>
    </row>
    <row r="28" spans="1:35" x14ac:dyDescent="0.3">
      <c r="A28" s="340" t="s">
        <v>308</v>
      </c>
      <c r="B28" s="340"/>
      <c r="C28" s="203">
        <f>C27/C$2</f>
        <v>0.66487365405951904</v>
      </c>
      <c r="D28" s="203">
        <f t="shared" ref="D28:AG28" si="24">D27/D$2</f>
        <v>1.3044120251395037</v>
      </c>
      <c r="E28" s="203">
        <f t="shared" si="24"/>
        <v>1.2542261310628706</v>
      </c>
      <c r="F28" s="203">
        <f t="shared" si="24"/>
        <v>1.1713964401780739</v>
      </c>
      <c r="G28" s="203">
        <f t="shared" si="24"/>
        <v>1.5954784821379835</v>
      </c>
      <c r="H28" s="203">
        <f t="shared" si="24"/>
        <v>1.6836655066122295</v>
      </c>
      <c r="I28" s="203">
        <f t="shared" si="24"/>
        <v>1.227743868552007</v>
      </c>
      <c r="J28" s="203">
        <f t="shared" si="24"/>
        <v>1.8614305035210112</v>
      </c>
      <c r="K28" s="203">
        <f t="shared" si="24"/>
        <v>1.302374252893586</v>
      </c>
      <c r="L28" s="203">
        <f t="shared" si="24"/>
        <v>1.1078891673756011</v>
      </c>
      <c r="M28" s="203">
        <f t="shared" si="24"/>
        <v>0.92058369116190997</v>
      </c>
      <c r="N28" s="203">
        <f t="shared" si="24"/>
        <v>0.95827101220076938</v>
      </c>
      <c r="O28" s="203">
        <f t="shared" si="24"/>
        <v>2.1367129492940045</v>
      </c>
      <c r="P28" s="203">
        <f t="shared" si="24"/>
        <v>2.4867944177041572</v>
      </c>
      <c r="Q28" s="203">
        <f t="shared" si="24"/>
        <v>3.2487523573476098</v>
      </c>
      <c r="R28" s="203">
        <f t="shared" si="24"/>
        <v>4.7751612073644525</v>
      </c>
      <c r="S28" s="203">
        <f t="shared" si="24"/>
        <v>4.2395986118212834</v>
      </c>
      <c r="T28" s="203">
        <f t="shared" si="24"/>
        <v>4.9505935811300796</v>
      </c>
      <c r="U28" s="203">
        <f t="shared" si="24"/>
        <v>4.9375637578690661</v>
      </c>
      <c r="V28" s="203">
        <f t="shared" si="24"/>
        <v>11.324855980324223</v>
      </c>
      <c r="W28" s="203">
        <f t="shared" si="24"/>
        <v>8.0465813433372002</v>
      </c>
      <c r="X28" s="203">
        <f t="shared" si="24"/>
        <v>17.996196192604607</v>
      </c>
      <c r="Y28" s="203">
        <f t="shared" si="24"/>
        <v>9.8518903410511776</v>
      </c>
      <c r="Z28" s="203">
        <f t="shared" si="24"/>
        <v>21.3397407519046</v>
      </c>
      <c r="AA28" s="203">
        <f t="shared" si="24"/>
        <v>33.992062836081537</v>
      </c>
      <c r="AB28" s="203">
        <f t="shared" si="24"/>
        <v>20.288932064703005</v>
      </c>
      <c r="AC28" s="203">
        <f t="shared" si="24"/>
        <v>21.579066953307461</v>
      </c>
      <c r="AD28" s="203">
        <f t="shared" si="24"/>
        <v>14.275094772032512</v>
      </c>
      <c r="AE28" s="203">
        <f t="shared" si="24"/>
        <v>48.554971527295493</v>
      </c>
      <c r="AF28" s="203">
        <f t="shared" si="24"/>
        <v>11.800624577064877</v>
      </c>
      <c r="AG28" s="203">
        <f t="shared" si="24"/>
        <v>13.213618245327533</v>
      </c>
      <c r="AH28" s="203">
        <f t="shared" ref="AH28" si="25">AH27/AH$2</f>
        <v>12.101003013020744</v>
      </c>
      <c r="AI28" s="201">
        <f>SUM(C28:AH28)</f>
        <v>286.19216021548073</v>
      </c>
    </row>
  </sheetData>
  <mergeCells count="11">
    <mergeCell ref="A16:A18"/>
    <mergeCell ref="A21:A23"/>
    <mergeCell ref="A24:A26"/>
    <mergeCell ref="A27:B27"/>
    <mergeCell ref="A28:B28"/>
    <mergeCell ref="A13:A15"/>
    <mergeCell ref="A3:B3"/>
    <mergeCell ref="A4:A6"/>
    <mergeCell ref="A8:A10"/>
    <mergeCell ref="A11:B11"/>
    <mergeCell ref="A12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" sqref="H3"/>
    </sheetView>
  </sheetViews>
  <sheetFormatPr defaultColWidth="9.109375" defaultRowHeight="14.4" x14ac:dyDescent="0.3"/>
  <cols>
    <col min="1" max="16384" width="9.109375" style="170"/>
  </cols>
  <sheetData>
    <row r="1" spans="2:6" ht="43.2" x14ac:dyDescent="0.3">
      <c r="B1" s="213" t="s">
        <v>262</v>
      </c>
      <c r="C1" s="213" t="s">
        <v>263</v>
      </c>
      <c r="D1" s="213" t="s">
        <v>264</v>
      </c>
      <c r="E1" s="213" t="s">
        <v>265</v>
      </c>
      <c r="F1" s="213" t="s">
        <v>309</v>
      </c>
    </row>
    <row r="2" spans="2:6" x14ac:dyDescent="0.3">
      <c r="B2" s="269">
        <v>2014</v>
      </c>
      <c r="C2" s="269">
        <v>100.937573</v>
      </c>
      <c r="D2" s="269">
        <v>96.059252000000001</v>
      </c>
      <c r="E2" s="269">
        <v>105.68410900000001</v>
      </c>
      <c r="F2" s="269">
        <v>125</v>
      </c>
    </row>
    <row r="3" spans="2:6" x14ac:dyDescent="0.3">
      <c r="B3" s="269">
        <v>2013</v>
      </c>
      <c r="C3" s="269">
        <v>101.611681</v>
      </c>
      <c r="D3" s="269">
        <v>97.246966999999998</v>
      </c>
      <c r="E3" s="269">
        <v>108.599626</v>
      </c>
      <c r="F3" s="269">
        <v>255</v>
      </c>
    </row>
    <row r="4" spans="2:6" x14ac:dyDescent="0.3">
      <c r="B4" s="214">
        <v>2012</v>
      </c>
      <c r="C4" s="214">
        <v>93.386073999999994</v>
      </c>
      <c r="D4" s="214">
        <v>89.944794999999999</v>
      </c>
      <c r="E4" s="214">
        <v>98.104622000000006</v>
      </c>
      <c r="F4" s="214">
        <v>256</v>
      </c>
    </row>
    <row r="5" spans="2:6" x14ac:dyDescent="0.3">
      <c r="B5" s="214">
        <v>2011</v>
      </c>
      <c r="C5" s="214">
        <v>86.359025000000003</v>
      </c>
      <c r="D5" s="214">
        <v>84.211183000000005</v>
      </c>
      <c r="E5" s="214">
        <v>90.074523999999997</v>
      </c>
      <c r="F5" s="214">
        <v>257</v>
      </c>
    </row>
    <row r="6" spans="2:6" x14ac:dyDescent="0.3">
      <c r="B6" s="214">
        <v>2010</v>
      </c>
      <c r="C6" s="214">
        <v>85.237962999999993</v>
      </c>
      <c r="D6" s="214">
        <v>83.613068999999996</v>
      </c>
      <c r="E6" s="214">
        <v>87.779572000000002</v>
      </c>
      <c r="F6" s="214">
        <v>258</v>
      </c>
    </row>
    <row r="7" spans="2:6" x14ac:dyDescent="0.3">
      <c r="B7" s="214">
        <v>2009</v>
      </c>
      <c r="C7" s="214">
        <v>81.598060000000004</v>
      </c>
      <c r="D7" s="214">
        <v>76.1631</v>
      </c>
      <c r="E7" s="214">
        <v>84.610006999999996</v>
      </c>
      <c r="F7" s="214">
        <v>256</v>
      </c>
    </row>
    <row r="8" spans="2:6" x14ac:dyDescent="0.3">
      <c r="B8" s="214">
        <v>2008</v>
      </c>
      <c r="C8" s="214">
        <v>70.619783999999996</v>
      </c>
      <c r="D8" s="214">
        <v>61.810915000000001</v>
      </c>
      <c r="E8" s="214">
        <v>82.574243999999993</v>
      </c>
      <c r="F8" s="214">
        <v>256</v>
      </c>
    </row>
    <row r="9" spans="2:6" x14ac:dyDescent="0.3">
      <c r="B9" s="214">
        <v>2007</v>
      </c>
      <c r="C9" s="214">
        <v>60.674821000000001</v>
      </c>
      <c r="D9" s="214">
        <v>59.944178000000001</v>
      </c>
      <c r="E9" s="214">
        <v>61.566172999999999</v>
      </c>
      <c r="F9" s="214">
        <v>255</v>
      </c>
    </row>
    <row r="10" spans="2:6" x14ac:dyDescent="0.3">
      <c r="B10" s="214">
        <v>2006</v>
      </c>
      <c r="C10" s="214">
        <v>60.263894999999998</v>
      </c>
      <c r="D10" s="214">
        <v>59.738346</v>
      </c>
      <c r="E10" s="214">
        <v>60.957571000000002</v>
      </c>
      <c r="F10" s="214">
        <v>255</v>
      </c>
    </row>
    <row r="11" spans="2:6" x14ac:dyDescent="0.3">
      <c r="B11" s="214">
        <v>2005</v>
      </c>
      <c r="C11" s="214">
        <v>59.604984999999999</v>
      </c>
      <c r="D11" s="214">
        <v>58.578228000000003</v>
      </c>
      <c r="E11" s="214">
        <v>60.216240999999997</v>
      </c>
      <c r="F11" s="214">
        <v>257</v>
      </c>
    </row>
    <row r="12" spans="2:6" x14ac:dyDescent="0.3">
      <c r="B12" s="214">
        <v>2004</v>
      </c>
      <c r="C12" s="214">
        <v>58.361262000000004</v>
      </c>
      <c r="D12" s="214">
        <v>55.222501999999999</v>
      </c>
      <c r="E12" s="214">
        <v>61.159398000000003</v>
      </c>
      <c r="F12" s="214">
        <v>259</v>
      </c>
    </row>
    <row r="13" spans="2:6" x14ac:dyDescent="0.3">
      <c r="B13" s="214">
        <v>2003</v>
      </c>
      <c r="C13" s="214">
        <v>57.814433999999999</v>
      </c>
      <c r="D13" s="214">
        <v>54.944012999999998</v>
      </c>
      <c r="E13" s="214">
        <v>61.325057999999999</v>
      </c>
      <c r="F13" s="214">
        <v>255</v>
      </c>
    </row>
    <row r="14" spans="2:6" x14ac:dyDescent="0.3">
      <c r="B14" s="214">
        <v>2002</v>
      </c>
      <c r="C14" s="214">
        <v>59.494475000000001</v>
      </c>
      <c r="D14" s="214">
        <v>57.631506000000002</v>
      </c>
      <c r="E14" s="214">
        <v>62.846119999999999</v>
      </c>
      <c r="F14" s="214">
        <v>255</v>
      </c>
    </row>
    <row r="15" spans="2:6" x14ac:dyDescent="0.3">
      <c r="B15" s="214">
        <v>2001</v>
      </c>
      <c r="C15" s="214">
        <v>62.379555000000003</v>
      </c>
      <c r="D15" s="214">
        <v>58.507081999999997</v>
      </c>
      <c r="E15" s="214">
        <v>67.242580000000004</v>
      </c>
      <c r="F15" s="214">
        <v>255</v>
      </c>
    </row>
    <row r="16" spans="2:6" x14ac:dyDescent="0.3">
      <c r="B16" s="214">
        <v>2000</v>
      </c>
      <c r="C16" s="214">
        <v>55.696345999999998</v>
      </c>
      <c r="D16" s="214">
        <v>51.611866999999997</v>
      </c>
      <c r="E16" s="214">
        <v>61.066758</v>
      </c>
      <c r="F16" s="214">
        <v>255</v>
      </c>
    </row>
    <row r="17" spans="2:6" x14ac:dyDescent="0.3">
      <c r="B17" s="214">
        <v>1999</v>
      </c>
      <c r="C17" s="214">
        <v>54.259295999999999</v>
      </c>
      <c r="D17" s="214">
        <v>48.986370999999998</v>
      </c>
      <c r="E17" s="214">
        <v>57.668429000000003</v>
      </c>
      <c r="F17" s="214">
        <v>261</v>
      </c>
    </row>
    <row r="18" spans="2:6" x14ac:dyDescent="0.3">
      <c r="B18" s="214">
        <v>1998</v>
      </c>
      <c r="C18" s="214">
        <v>44.433608999999997</v>
      </c>
      <c r="D18" s="214">
        <v>41.037025999999997</v>
      </c>
      <c r="E18" s="214">
        <v>46.483421999999997</v>
      </c>
      <c r="F18" s="214">
        <v>261</v>
      </c>
    </row>
    <row r="19" spans="2:6" x14ac:dyDescent="0.3">
      <c r="B19" s="214">
        <v>1997</v>
      </c>
      <c r="C19" s="214">
        <v>45.458930000000002</v>
      </c>
      <c r="D19" s="214">
        <v>40.938361</v>
      </c>
      <c r="E19" s="214">
        <v>49.096769000000002</v>
      </c>
      <c r="F19" s="214">
        <v>261</v>
      </c>
    </row>
    <row r="20" spans="2:6" x14ac:dyDescent="0.3">
      <c r="B20" s="214">
        <v>1996</v>
      </c>
      <c r="C20" s="214">
        <v>37.354165000000002</v>
      </c>
      <c r="D20" s="214">
        <v>35.986679000000002</v>
      </c>
      <c r="E20" s="214">
        <v>38.315688999999999</v>
      </c>
      <c r="F20" s="214">
        <v>262</v>
      </c>
    </row>
    <row r="21" spans="2:6" x14ac:dyDescent="0.3">
      <c r="B21" s="214">
        <v>1995</v>
      </c>
      <c r="C21" s="214">
        <v>29.771429999999999</v>
      </c>
      <c r="D21" s="214">
        <v>28.67651</v>
      </c>
      <c r="E21" s="214">
        <v>31.851133000000001</v>
      </c>
      <c r="F21" s="214">
        <v>260</v>
      </c>
    </row>
    <row r="22" spans="2:6" x14ac:dyDescent="0.3">
      <c r="B22" s="214">
        <v>1994</v>
      </c>
      <c r="C22" s="214">
        <v>28.730891</v>
      </c>
      <c r="D22" s="214">
        <v>26.551717</v>
      </c>
      <c r="E22" s="214">
        <v>30.902296</v>
      </c>
      <c r="F22" s="214">
        <v>260</v>
      </c>
    </row>
    <row r="23" spans="2:6" x14ac:dyDescent="0.3">
      <c r="B23" s="214">
        <v>1993</v>
      </c>
      <c r="C23" s="214">
        <v>29.073046000000001</v>
      </c>
      <c r="D23" s="214">
        <v>27.350740999999999</v>
      </c>
      <c r="E23" s="214">
        <v>30.578679999999999</v>
      </c>
      <c r="F23" s="214">
        <v>261</v>
      </c>
    </row>
    <row r="24" spans="2:6" x14ac:dyDescent="0.3">
      <c r="B24" s="214">
        <v>1992</v>
      </c>
      <c r="C24" s="214">
        <v>25.990867000000001</v>
      </c>
      <c r="D24" s="214">
        <v>23.064816</v>
      </c>
      <c r="E24" s="214">
        <v>27.862773000000001</v>
      </c>
      <c r="F24" s="214">
        <v>262</v>
      </c>
    </row>
    <row r="25" spans="2:6" x14ac:dyDescent="0.3">
      <c r="B25" s="214">
        <v>1991</v>
      </c>
      <c r="C25" s="214">
        <v>26.268179</v>
      </c>
      <c r="D25" s="214">
        <v>23.042377999999999</v>
      </c>
      <c r="E25" s="214">
        <v>28.965627000000001</v>
      </c>
      <c r="F25" s="214">
        <v>261</v>
      </c>
    </row>
    <row r="26" spans="2:6" x14ac:dyDescent="0.3">
      <c r="B26" s="214">
        <v>1990</v>
      </c>
      <c r="C26" s="214">
        <v>20.443417</v>
      </c>
      <c r="D26" s="214">
        <v>18.601814999999998</v>
      </c>
      <c r="E26" s="214">
        <v>21.908442000000001</v>
      </c>
      <c r="F26" s="214">
        <v>261</v>
      </c>
    </row>
    <row r="27" spans="2:6" x14ac:dyDescent="0.3">
      <c r="B27" s="214">
        <v>1989</v>
      </c>
      <c r="C27" s="214">
        <v>21.763497000000001</v>
      </c>
      <c r="D27" s="214">
        <v>19.873556000000001</v>
      </c>
      <c r="E27" s="214">
        <v>23.588132000000002</v>
      </c>
      <c r="F27" s="214">
        <v>260</v>
      </c>
    </row>
    <row r="28" spans="2:6" x14ac:dyDescent="0.3">
      <c r="B28" s="214">
        <v>1988</v>
      </c>
      <c r="C28" s="214">
        <v>19.843609000000001</v>
      </c>
      <c r="D28" s="214">
        <v>17.989044</v>
      </c>
      <c r="E28" s="214">
        <v>21.567381000000001</v>
      </c>
      <c r="F28" s="214">
        <v>261</v>
      </c>
    </row>
    <row r="29" spans="2:6" x14ac:dyDescent="0.3">
      <c r="B29" s="214">
        <v>1987</v>
      </c>
      <c r="C29" s="214">
        <v>16.139358999999999</v>
      </c>
      <c r="D29" s="214">
        <v>14.27558</v>
      </c>
      <c r="E29" s="214">
        <v>17.398800000000001</v>
      </c>
      <c r="F29" s="214">
        <v>261</v>
      </c>
    </row>
    <row r="30" spans="2:6" x14ac:dyDescent="0.3">
      <c r="B30" s="214">
        <v>1986</v>
      </c>
      <c r="C30" s="214">
        <v>15.041876</v>
      </c>
      <c r="D30" s="214">
        <v>13.796678999999999</v>
      </c>
      <c r="E30" s="214">
        <v>16.734551</v>
      </c>
      <c r="F30" s="214">
        <v>261</v>
      </c>
    </row>
    <row r="31" spans="2:6" x14ac:dyDescent="0.3">
      <c r="B31" s="214">
        <v>1985</v>
      </c>
      <c r="C31" s="214">
        <v>14.893646</v>
      </c>
      <c r="D31" s="214">
        <v>12.690146</v>
      </c>
      <c r="E31" s="214">
        <v>17.614874</v>
      </c>
      <c r="F31" s="214">
        <v>261</v>
      </c>
    </row>
    <row r="32" spans="2:6" x14ac:dyDescent="0.3">
      <c r="B32" s="214">
        <v>1984</v>
      </c>
      <c r="C32" s="214">
        <v>14.811271</v>
      </c>
      <c r="D32" s="214">
        <v>13.243691999999999</v>
      </c>
      <c r="E32" s="214">
        <v>16.468526000000001</v>
      </c>
      <c r="F32" s="214">
        <v>261</v>
      </c>
    </row>
    <row r="33" spans="1:6" x14ac:dyDescent="0.3">
      <c r="B33" s="214">
        <v>1983</v>
      </c>
      <c r="C33" s="214">
        <v>14.288429000000001</v>
      </c>
      <c r="D33" s="214">
        <v>12.902532000000001</v>
      </c>
      <c r="E33" s="214">
        <v>15.589173000000001</v>
      </c>
      <c r="F33" s="214">
        <v>260</v>
      </c>
    </row>
    <row r="34" spans="1:6" x14ac:dyDescent="0.3">
      <c r="A34" s="170" t="s">
        <v>266</v>
      </c>
      <c r="B34" s="170" t="s">
        <v>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Graphs for presentation</vt:lpstr>
      <vt:lpstr>1.RSP Districts </vt:lpstr>
      <vt:lpstr>2. Overall cum progress June 14</vt:lpstr>
      <vt:lpstr>2. Overall cum progress Mar Ref</vt:lpstr>
      <vt:lpstr>Cummulative Progress since 82</vt:lpstr>
      <vt:lpstr>graphs</vt:lpstr>
      <vt:lpstr>Value in dollars </vt:lpstr>
      <vt:lpstr>Exchange rates</vt:lpstr>
      <vt:lpstr>'1.RSP Districts '!Print_Area</vt:lpstr>
      <vt:lpstr>'2. Overall cum progress June 14'!Print_Area</vt:lpstr>
      <vt:lpstr>'2. Overall cum progress Mar Ref'!Print_Area</vt:lpstr>
      <vt:lpstr>'1.RSP Districts '!Print_Titles</vt:lpstr>
      <vt:lpstr>'2. Overall cum progress June 14'!Print_Titles</vt:lpstr>
      <vt:lpstr>'2. Overall cum progress Mar Ref'!Print_Titles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2014-06-30T06:06:07Z</cp:lastPrinted>
  <dcterms:created xsi:type="dcterms:W3CDTF">2011-06-02T11:20:26Z</dcterms:created>
  <dcterms:modified xsi:type="dcterms:W3CDTF">2015-12-03T06:39:29Z</dcterms:modified>
</cp:coreProperties>
</file>