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firstSheet="2" activeTab="8"/>
  </bookViews>
  <sheets>
    <sheet name="Graphs for presentation" sheetId="10" r:id="rId1"/>
    <sheet name="1.RSP Districts " sheetId="2" r:id="rId2"/>
    <sheet name="2. Overall cum progress Dec)" sheetId="24" r:id="rId3"/>
    <sheet name="2. Overall cum progress Sept14" sheetId="23" r:id="rId4"/>
    <sheet name="2. Overall cum progress June Rf" sheetId="17" state="hidden" r:id="rId5"/>
    <sheet name="2. Overall cum progress Mar Ref" sheetId="22" state="hidden" r:id="rId6"/>
    <sheet name="Cummulative Progress since 82" sheetId="13" state="hidden" r:id="rId7"/>
    <sheet name="graphs" sheetId="14" state="hidden" r:id="rId8"/>
    <sheet name="Value in dollars " sheetId="15" r:id="rId9"/>
    <sheet name="Exchange rates" sheetId="1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1" hidden="1">'1.RSP Districts '!$R$4:$R$232</definedName>
    <definedName name="_xlnm._FilterDatabase" localSheetId="2" hidden="1">'2. Overall cum progress Dec)'!#REF!</definedName>
    <definedName name="_xlnm._FilterDatabase" localSheetId="4" hidden="1">'2. Overall cum progress June Rf'!#REF!</definedName>
    <definedName name="_xlnm._FilterDatabase" localSheetId="5" hidden="1">'2. Overall cum progress Mar Ref'!#REF!</definedName>
    <definedName name="_xlnm._FilterDatabase" localSheetId="3" hidden="1">'2. Overall cum progress Sept14'!#REF!</definedName>
    <definedName name="_xlnm.Print_Area" localSheetId="1">'1.RSP Districts '!$A$1:$U$232</definedName>
    <definedName name="_xlnm.Print_Area" localSheetId="2">'2. Overall cum progress Dec)'!$A$1:$M$64</definedName>
    <definedName name="_xlnm.Print_Area" localSheetId="4">'2. Overall cum progress June Rf'!$A$1:$M$55</definedName>
    <definedName name="_xlnm.Print_Area" localSheetId="5">'2. Overall cum progress Mar Ref'!$A$1:$M$55</definedName>
    <definedName name="_xlnm.Print_Area" localSheetId="3">'2. Overall cum progress Sept14'!$A$1:$M$55</definedName>
    <definedName name="_xlnm.Print_Titles" localSheetId="1">'1.RSP Districts '!$1:$3</definedName>
    <definedName name="_xlnm.Print_Titles" localSheetId="2">'2. Overall cum progress Dec)'!$1:$3</definedName>
    <definedName name="_xlnm.Print_Titles" localSheetId="4">'2. Overall cum progress June Rf'!$1:$3</definedName>
    <definedName name="_xlnm.Print_Titles" localSheetId="5">'2. Overall cum progress Mar Ref'!$1:$3</definedName>
    <definedName name="_xlnm.Print_Titles" localSheetId="3">'2. Overall cum progress Sept14'!$1:$3</definedName>
  </definedNames>
  <calcPr calcId="125725"/>
</workbook>
</file>

<file path=xl/calcChain.xml><?xml version="1.0" encoding="utf-8"?>
<calcChain xmlns="http://schemas.openxmlformats.org/spreadsheetml/2006/main">
  <c r="AJ21" i="15"/>
  <c r="AJ26"/>
  <c r="AJ25"/>
  <c r="AJ24"/>
  <c r="AJ23"/>
  <c r="AH11"/>
  <c r="AH9"/>
  <c r="AH8"/>
  <c r="AH7"/>
  <c r="AH5"/>
  <c r="AH4"/>
  <c r="N46" i="24"/>
  <c r="E75" i="2"/>
  <c r="E156"/>
  <c r="E155"/>
  <c r="E154"/>
  <c r="E152"/>
  <c r="E150"/>
  <c r="E148"/>
  <c r="E144"/>
  <c r="E143"/>
  <c r="E142"/>
  <c r="E141"/>
  <c r="E139"/>
  <c r="E137"/>
  <c r="E134"/>
  <c r="E133"/>
  <c r="E130"/>
  <c r="E129"/>
  <c r="E126"/>
  <c r="E125"/>
  <c r="E123"/>
  <c r="E121"/>
  <c r="E120"/>
  <c r="E118"/>
  <c r="E117"/>
  <c r="E116"/>
  <c r="K9" i="24"/>
  <c r="P202" i="2" l="1"/>
  <c r="P197"/>
  <c r="P194"/>
  <c r="P193"/>
  <c r="P191"/>
  <c r="T103"/>
  <c r="S103"/>
  <c r="T100"/>
  <c r="S100"/>
  <c r="T85"/>
  <c r="S85"/>
  <c r="T81"/>
  <c r="S81"/>
  <c r="P103"/>
  <c r="P100"/>
  <c r="P85"/>
  <c r="P81"/>
  <c r="L103"/>
  <c r="L100"/>
  <c r="L85"/>
  <c r="L81"/>
  <c r="I103"/>
  <c r="I100"/>
  <c r="I85"/>
  <c r="I81"/>
  <c r="E103"/>
  <c r="E100"/>
  <c r="E85"/>
  <c r="T202" l="1"/>
  <c r="S202"/>
  <c r="T197"/>
  <c r="S197"/>
  <c r="T194"/>
  <c r="S194"/>
  <c r="T193"/>
  <c r="S193"/>
  <c r="T191"/>
  <c r="S191"/>
  <c r="Q202"/>
  <c r="Q197"/>
  <c r="Q194"/>
  <c r="Q193"/>
  <c r="Q191"/>
  <c r="L202"/>
  <c r="N202" s="1"/>
  <c r="L197"/>
  <c r="N197" s="1"/>
  <c r="L194"/>
  <c r="N194" s="1"/>
  <c r="L193"/>
  <c r="N193" s="1"/>
  <c r="L191"/>
  <c r="N191" s="1"/>
  <c r="I202"/>
  <c r="I197"/>
  <c r="I194"/>
  <c r="I193"/>
  <c r="I191"/>
  <c r="E202"/>
  <c r="G202" s="1"/>
  <c r="E197"/>
  <c r="G197" s="1"/>
  <c r="E194"/>
  <c r="G194" s="1"/>
  <c r="E193"/>
  <c r="G193" s="1"/>
  <c r="E191"/>
  <c r="T97"/>
  <c r="S97"/>
  <c r="T96"/>
  <c r="S96"/>
  <c r="T94"/>
  <c r="S94"/>
  <c r="T92"/>
  <c r="S92"/>
  <c r="T89"/>
  <c r="S89"/>
  <c r="T88"/>
  <c r="S88"/>
  <c r="T87"/>
  <c r="S87"/>
  <c r="T84"/>
  <c r="S84"/>
  <c r="T82"/>
  <c r="S82"/>
  <c r="P97"/>
  <c r="P96"/>
  <c r="P94"/>
  <c r="P92"/>
  <c r="P89"/>
  <c r="P88"/>
  <c r="P87"/>
  <c r="P84"/>
  <c r="P82"/>
  <c r="L97"/>
  <c r="L96"/>
  <c r="L94"/>
  <c r="L92"/>
  <c r="L89"/>
  <c r="L88"/>
  <c r="L87"/>
  <c r="L84"/>
  <c r="L82"/>
  <c r="I97"/>
  <c r="I96"/>
  <c r="I94"/>
  <c r="I92"/>
  <c r="I89"/>
  <c r="I88"/>
  <c r="I87"/>
  <c r="I84"/>
  <c r="I82"/>
  <c r="E97"/>
  <c r="E96"/>
  <c r="E94"/>
  <c r="E92"/>
  <c r="E89"/>
  <c r="E88"/>
  <c r="E87"/>
  <c r="E84"/>
  <c r="T156"/>
  <c r="S156"/>
  <c r="T155"/>
  <c r="S155"/>
  <c r="T154"/>
  <c r="S154"/>
  <c r="T152"/>
  <c r="S152"/>
  <c r="T150"/>
  <c r="S150"/>
  <c r="T148"/>
  <c r="S148"/>
  <c r="T144"/>
  <c r="S144"/>
  <c r="T143"/>
  <c r="S143"/>
  <c r="T142"/>
  <c r="S142"/>
  <c r="T141"/>
  <c r="S141"/>
  <c r="T139"/>
  <c r="S139"/>
  <c r="T137"/>
  <c r="S137"/>
  <c r="T134"/>
  <c r="S134"/>
  <c r="T133"/>
  <c r="S133"/>
  <c r="T130"/>
  <c r="S130"/>
  <c r="T129"/>
  <c r="S129"/>
  <c r="T126"/>
  <c r="S126"/>
  <c r="T125"/>
  <c r="S125"/>
  <c r="T123"/>
  <c r="S123"/>
  <c r="T121"/>
  <c r="S121"/>
  <c r="T120"/>
  <c r="S120"/>
  <c r="T118"/>
  <c r="S118"/>
  <c r="T117"/>
  <c r="S117"/>
  <c r="T116"/>
  <c r="S116"/>
  <c r="T113"/>
  <c r="T215" s="1"/>
  <c r="S113"/>
  <c r="P156"/>
  <c r="P155"/>
  <c r="P154"/>
  <c r="P152"/>
  <c r="P150"/>
  <c r="P148"/>
  <c r="P144"/>
  <c r="P143"/>
  <c r="P142"/>
  <c r="P141"/>
  <c r="P139"/>
  <c r="P137"/>
  <c r="P134"/>
  <c r="P133"/>
  <c r="P130"/>
  <c r="P129"/>
  <c r="P126"/>
  <c r="P125"/>
  <c r="P123"/>
  <c r="P121"/>
  <c r="P120"/>
  <c r="P118"/>
  <c r="P117"/>
  <c r="P116"/>
  <c r="P113"/>
  <c r="L156"/>
  <c r="L155"/>
  <c r="L154"/>
  <c r="L152"/>
  <c r="L150"/>
  <c r="L148"/>
  <c r="L144"/>
  <c r="L143"/>
  <c r="L142"/>
  <c r="L141"/>
  <c r="L139"/>
  <c r="L137"/>
  <c r="L134"/>
  <c r="L133"/>
  <c r="L130"/>
  <c r="L129"/>
  <c r="L126"/>
  <c r="L125"/>
  <c r="L123"/>
  <c r="L121"/>
  <c r="L120"/>
  <c r="L118"/>
  <c r="L117"/>
  <c r="L116"/>
  <c r="L113"/>
  <c r="I156"/>
  <c r="I155"/>
  <c r="I154"/>
  <c r="I152"/>
  <c r="I150"/>
  <c r="I148"/>
  <c r="I144"/>
  <c r="I143"/>
  <c r="I142"/>
  <c r="I141"/>
  <c r="I139"/>
  <c r="I137"/>
  <c r="I134"/>
  <c r="I133"/>
  <c r="I130"/>
  <c r="I129"/>
  <c r="I126"/>
  <c r="I125"/>
  <c r="I123"/>
  <c r="I121"/>
  <c r="I120"/>
  <c r="I118"/>
  <c r="I117"/>
  <c r="I116"/>
  <c r="I113"/>
  <c r="T177"/>
  <c r="S177"/>
  <c r="T175"/>
  <c r="S175"/>
  <c r="T172"/>
  <c r="S172"/>
  <c r="T170"/>
  <c r="S170"/>
  <c r="T168"/>
  <c r="S168"/>
  <c r="T166"/>
  <c r="S166"/>
  <c r="T164"/>
  <c r="S164"/>
  <c r="T162"/>
  <c r="S162"/>
  <c r="T158"/>
  <c r="S158"/>
  <c r="T157"/>
  <c r="S157"/>
  <c r="T153"/>
  <c r="S153"/>
  <c r="T151"/>
  <c r="S151"/>
  <c r="T149"/>
  <c r="S149"/>
  <c r="T147"/>
  <c r="S147"/>
  <c r="T146"/>
  <c r="S146"/>
  <c r="T145"/>
  <c r="S145"/>
  <c r="T140"/>
  <c r="S140"/>
  <c r="T138"/>
  <c r="S138"/>
  <c r="T136"/>
  <c r="S136"/>
  <c r="T135"/>
  <c r="S135"/>
  <c r="T132"/>
  <c r="S132"/>
  <c r="T131"/>
  <c r="S131"/>
  <c r="T128"/>
  <c r="S128"/>
  <c r="T127"/>
  <c r="S127"/>
  <c r="T124"/>
  <c r="S124"/>
  <c r="T122"/>
  <c r="S122"/>
  <c r="T119"/>
  <c r="S119"/>
  <c r="T115"/>
  <c r="S115"/>
  <c r="T114"/>
  <c r="S114"/>
  <c r="T112"/>
  <c r="S112"/>
  <c r="T111"/>
  <c r="S111"/>
  <c r="T110"/>
  <c r="S110"/>
  <c r="T109"/>
  <c r="S109"/>
  <c r="T108"/>
  <c r="S108"/>
  <c r="T102"/>
  <c r="S102"/>
  <c r="T101"/>
  <c r="S101"/>
  <c r="T99"/>
  <c r="S99"/>
  <c r="T98"/>
  <c r="S98"/>
  <c r="T93"/>
  <c r="S93"/>
  <c r="T91"/>
  <c r="S91"/>
  <c r="T90"/>
  <c r="S90"/>
  <c r="T83"/>
  <c r="S83"/>
  <c r="T80"/>
  <c r="S80"/>
  <c r="T74"/>
  <c r="S74"/>
  <c r="T73"/>
  <c r="S73"/>
  <c r="T69"/>
  <c r="S69"/>
  <c r="T66"/>
  <c r="S66"/>
  <c r="T63"/>
  <c r="S63"/>
  <c r="T58"/>
  <c r="S58"/>
  <c r="T48"/>
  <c r="S48"/>
  <c r="T46"/>
  <c r="S46"/>
  <c r="T32"/>
  <c r="S32"/>
  <c r="T26"/>
  <c r="S26"/>
  <c r="T20"/>
  <c r="S20"/>
  <c r="T15"/>
  <c r="S15"/>
  <c r="T10"/>
  <c r="S10"/>
  <c r="T6"/>
  <c r="S6"/>
  <c r="P177"/>
  <c r="P175"/>
  <c r="P172"/>
  <c r="P170"/>
  <c r="P168"/>
  <c r="P166"/>
  <c r="P164"/>
  <c r="P162"/>
  <c r="P158"/>
  <c r="P157"/>
  <c r="P153"/>
  <c r="P151"/>
  <c r="P149"/>
  <c r="P147"/>
  <c r="P146"/>
  <c r="P145"/>
  <c r="P140"/>
  <c r="P138"/>
  <c r="P136"/>
  <c r="P135"/>
  <c r="P132"/>
  <c r="P131"/>
  <c r="P128"/>
  <c r="P127"/>
  <c r="P124"/>
  <c r="P122"/>
  <c r="P119"/>
  <c r="P115"/>
  <c r="P114"/>
  <c r="P112"/>
  <c r="P111"/>
  <c r="P110"/>
  <c r="P109"/>
  <c r="P108"/>
  <c r="P102"/>
  <c r="P101"/>
  <c r="P99"/>
  <c r="P98"/>
  <c r="P93"/>
  <c r="P91"/>
  <c r="P90"/>
  <c r="P83"/>
  <c r="P80"/>
  <c r="P74"/>
  <c r="P73"/>
  <c r="P69"/>
  <c r="P66"/>
  <c r="P63"/>
  <c r="P58"/>
  <c r="P48"/>
  <c r="P46"/>
  <c r="P32"/>
  <c r="P26"/>
  <c r="P20"/>
  <c r="P15"/>
  <c r="P10"/>
  <c r="P6"/>
  <c r="L177"/>
  <c r="L175"/>
  <c r="L172"/>
  <c r="L170"/>
  <c r="L168"/>
  <c r="L166"/>
  <c r="L164"/>
  <c r="L162"/>
  <c r="L158"/>
  <c r="L157"/>
  <c r="L153"/>
  <c r="L151"/>
  <c r="L149"/>
  <c r="L147"/>
  <c r="L146"/>
  <c r="L145"/>
  <c r="L140"/>
  <c r="L138"/>
  <c r="L136"/>
  <c r="L135"/>
  <c r="L132"/>
  <c r="L131"/>
  <c r="L128"/>
  <c r="L127"/>
  <c r="L124"/>
  <c r="L122"/>
  <c r="L119"/>
  <c r="L115"/>
  <c r="L114"/>
  <c r="L112"/>
  <c r="L111"/>
  <c r="L110"/>
  <c r="L109"/>
  <c r="L108"/>
  <c r="L102"/>
  <c r="L101"/>
  <c r="L99"/>
  <c r="L98"/>
  <c r="L93"/>
  <c r="L91"/>
  <c r="L90"/>
  <c r="L83"/>
  <c r="L80"/>
  <c r="L74"/>
  <c r="L73"/>
  <c r="L69"/>
  <c r="L66"/>
  <c r="L63"/>
  <c r="L58"/>
  <c r="L48"/>
  <c r="L46"/>
  <c r="L32"/>
  <c r="L26"/>
  <c r="L20"/>
  <c r="L15"/>
  <c r="L10"/>
  <c r="L6"/>
  <c r="I177"/>
  <c r="I175"/>
  <c r="I172"/>
  <c r="I170"/>
  <c r="I168"/>
  <c r="I166"/>
  <c r="I164"/>
  <c r="I162"/>
  <c r="I158"/>
  <c r="I157"/>
  <c r="I153"/>
  <c r="I151"/>
  <c r="I149"/>
  <c r="I147"/>
  <c r="I146"/>
  <c r="I145"/>
  <c r="I140"/>
  <c r="I138"/>
  <c r="I136"/>
  <c r="I135"/>
  <c r="I132"/>
  <c r="I131"/>
  <c r="I128"/>
  <c r="I127"/>
  <c r="I124"/>
  <c r="I122"/>
  <c r="I119"/>
  <c r="I115"/>
  <c r="I114"/>
  <c r="I112"/>
  <c r="I111"/>
  <c r="I110"/>
  <c r="I109"/>
  <c r="I108"/>
  <c r="I102"/>
  <c r="I101"/>
  <c r="I99"/>
  <c r="I98"/>
  <c r="I93"/>
  <c r="I91"/>
  <c r="I90"/>
  <c r="I83"/>
  <c r="I80"/>
  <c r="I74"/>
  <c r="I73"/>
  <c r="I69"/>
  <c r="I66"/>
  <c r="I63"/>
  <c r="I58"/>
  <c r="I48"/>
  <c r="I46"/>
  <c r="I32"/>
  <c r="I26"/>
  <c r="I20"/>
  <c r="I15"/>
  <c r="I10"/>
  <c r="I6"/>
  <c r="E177"/>
  <c r="E175"/>
  <c r="E172"/>
  <c r="E170"/>
  <c r="E168"/>
  <c r="E166"/>
  <c r="E164"/>
  <c r="E162"/>
  <c r="E158"/>
  <c r="E157"/>
  <c r="E153"/>
  <c r="E151"/>
  <c r="E149"/>
  <c r="E147"/>
  <c r="E146"/>
  <c r="E145"/>
  <c r="E140"/>
  <c r="E138"/>
  <c r="E136"/>
  <c r="E135"/>
  <c r="E132"/>
  <c r="E131"/>
  <c r="E128"/>
  <c r="E127"/>
  <c r="E124"/>
  <c r="E122"/>
  <c r="E119"/>
  <c r="E115"/>
  <c r="E114"/>
  <c r="E112"/>
  <c r="E111"/>
  <c r="E110"/>
  <c r="E109"/>
  <c r="E108"/>
  <c r="E102"/>
  <c r="E101"/>
  <c r="E99"/>
  <c r="E98"/>
  <c r="E93"/>
  <c r="E91"/>
  <c r="E90"/>
  <c r="E83"/>
  <c r="E80"/>
  <c r="E74"/>
  <c r="E73"/>
  <c r="E69"/>
  <c r="E66"/>
  <c r="E63"/>
  <c r="E58"/>
  <c r="E48"/>
  <c r="E46"/>
  <c r="E32"/>
  <c r="E26"/>
  <c r="E20"/>
  <c r="E15"/>
  <c r="E10"/>
  <c r="T107"/>
  <c r="S107"/>
  <c r="T72"/>
  <c r="S72"/>
  <c r="T56"/>
  <c r="S56"/>
  <c r="P107"/>
  <c r="P72"/>
  <c r="P56"/>
  <c r="L107"/>
  <c r="L72"/>
  <c r="L56"/>
  <c r="I107"/>
  <c r="I72"/>
  <c r="I56"/>
  <c r="E107"/>
  <c r="E72"/>
  <c r="T38"/>
  <c r="S38"/>
  <c r="T35"/>
  <c r="S35"/>
  <c r="T34"/>
  <c r="S34"/>
  <c r="T33"/>
  <c r="S33"/>
  <c r="T31"/>
  <c r="S31"/>
  <c r="T28"/>
  <c r="S28"/>
  <c r="T27"/>
  <c r="S27"/>
  <c r="T24"/>
  <c r="S24"/>
  <c r="T23"/>
  <c r="S23"/>
  <c r="T22"/>
  <c r="S22"/>
  <c r="T21"/>
  <c r="S21"/>
  <c r="T19"/>
  <c r="S19"/>
  <c r="T18"/>
  <c r="S18"/>
  <c r="T17"/>
  <c r="S17"/>
  <c r="T12"/>
  <c r="S12"/>
  <c r="P38"/>
  <c r="P35"/>
  <c r="P34"/>
  <c r="P33"/>
  <c r="P31"/>
  <c r="P28"/>
  <c r="P27"/>
  <c r="P24"/>
  <c r="P23"/>
  <c r="P22"/>
  <c r="P21"/>
  <c r="P19"/>
  <c r="P18"/>
  <c r="P17"/>
  <c r="P12"/>
  <c r="L38"/>
  <c r="L35"/>
  <c r="L34"/>
  <c r="L33"/>
  <c r="L31"/>
  <c r="L28"/>
  <c r="L27"/>
  <c r="L24"/>
  <c r="L23"/>
  <c r="L22"/>
  <c r="L21"/>
  <c r="L19"/>
  <c r="L18"/>
  <c r="L17"/>
  <c r="L12"/>
  <c r="I38"/>
  <c r="I35"/>
  <c r="I34"/>
  <c r="I33"/>
  <c r="I31"/>
  <c r="I28"/>
  <c r="I27"/>
  <c r="I24"/>
  <c r="I23"/>
  <c r="I22"/>
  <c r="I21"/>
  <c r="I19"/>
  <c r="I18"/>
  <c r="I17"/>
  <c r="I12"/>
  <c r="E38"/>
  <c r="E35"/>
  <c r="E34"/>
  <c r="E33"/>
  <c r="E31"/>
  <c r="E28"/>
  <c r="E27"/>
  <c r="E24"/>
  <c r="E23"/>
  <c r="E22"/>
  <c r="E21"/>
  <c r="E19"/>
  <c r="E18"/>
  <c r="E17"/>
  <c r="S187"/>
  <c r="S186"/>
  <c r="S185"/>
  <c r="S184"/>
  <c r="S183"/>
  <c r="S181"/>
  <c r="S50"/>
  <c r="P187"/>
  <c r="P186"/>
  <c r="P185"/>
  <c r="P184"/>
  <c r="P183"/>
  <c r="P181"/>
  <c r="P50"/>
  <c r="L187"/>
  <c r="L186"/>
  <c r="L185"/>
  <c r="K185" s="1"/>
  <c r="L184"/>
  <c r="K184" s="1"/>
  <c r="L183"/>
  <c r="L181"/>
  <c r="L50"/>
  <c r="I187"/>
  <c r="I186"/>
  <c r="I185"/>
  <c r="I184"/>
  <c r="I183"/>
  <c r="I181"/>
  <c r="I50"/>
  <c r="E187"/>
  <c r="E186"/>
  <c r="E185"/>
  <c r="E184"/>
  <c r="E183"/>
  <c r="E181"/>
  <c r="E176"/>
  <c r="E174"/>
  <c r="E173"/>
  <c r="E171"/>
  <c r="E169"/>
  <c r="E167"/>
  <c r="E165"/>
  <c r="D51" i="24"/>
  <c r="D48"/>
  <c r="D47"/>
  <c r="D10"/>
  <c r="T217" i="2" l="1"/>
  <c r="G10" i="24"/>
  <c r="G9"/>
  <c r="G8"/>
  <c r="F9"/>
  <c r="F8"/>
  <c r="E13"/>
  <c r="H131" i="2"/>
  <c r="O140"/>
  <c r="K140"/>
  <c r="H140"/>
  <c r="K119"/>
  <c r="M119" s="1"/>
  <c r="Q119"/>
  <c r="D7" i="24"/>
  <c r="F10" l="1"/>
  <c r="AI65" l="1"/>
  <c r="AH65"/>
  <c r="AG65"/>
  <c r="AF65"/>
  <c r="AE65"/>
  <c r="AD65"/>
  <c r="AC65"/>
  <c r="AB65"/>
  <c r="AA65"/>
  <c r="Z65"/>
  <c r="Y65"/>
  <c r="AI64"/>
  <c r="AH64"/>
  <c r="AG64"/>
  <c r="AF64"/>
  <c r="AE64"/>
  <c r="AD64"/>
  <c r="AC64"/>
  <c r="AB64"/>
  <c r="AA64"/>
  <c r="Z64"/>
  <c r="Y64"/>
  <c r="AI63"/>
  <c r="AH63"/>
  <c r="AG63"/>
  <c r="AF63"/>
  <c r="AE63"/>
  <c r="AD63"/>
  <c r="AC63"/>
  <c r="AB63"/>
  <c r="AA63"/>
  <c r="Z63"/>
  <c r="Y63"/>
  <c r="AI62"/>
  <c r="AH62"/>
  <c r="AG62"/>
  <c r="AF62"/>
  <c r="AE62"/>
  <c r="AD62"/>
  <c r="AC62"/>
  <c r="AB62"/>
  <c r="AA62"/>
  <c r="Z62"/>
  <c r="Y62"/>
  <c r="Y61"/>
  <c r="Y60"/>
  <c r="Y59"/>
  <c r="AB58"/>
  <c r="Y58"/>
  <c r="AF57"/>
  <c r="AB57"/>
  <c r="AA57"/>
  <c r="Y57"/>
  <c r="AF56"/>
  <c r="AB56"/>
  <c r="Y56"/>
  <c r="AF55"/>
  <c r="AB55"/>
  <c r="AA55"/>
  <c r="Y55"/>
  <c r="AB54"/>
  <c r="Y54"/>
  <c r="AB53"/>
  <c r="Y53"/>
  <c r="Y52"/>
  <c r="Y51"/>
  <c r="Y50"/>
  <c r="AA49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AB8"/>
  <c r="Y8"/>
  <c r="Z7"/>
  <c r="Y7"/>
  <c r="Y6"/>
  <c r="Y5"/>
  <c r="Y4"/>
  <c r="AB9"/>
  <c r="L7"/>
  <c r="AH7" s="1"/>
  <c r="K7"/>
  <c r="AG7" s="1"/>
  <c r="J7"/>
  <c r="AF7" s="1"/>
  <c r="I7"/>
  <c r="AE7" s="1"/>
  <c r="H7"/>
  <c r="AD7" s="1"/>
  <c r="G7"/>
  <c r="AC7" s="1"/>
  <c r="F7"/>
  <c r="AB7" s="1"/>
  <c r="E7"/>
  <c r="AA7" s="1"/>
  <c r="M7" l="1"/>
  <c r="AI7" s="1"/>
  <c r="A159" i="2"/>
  <c r="D159"/>
  <c r="C159"/>
  <c r="J119"/>
  <c r="N119" s="1"/>
  <c r="G60" i="24"/>
  <c r="AC60" s="1"/>
  <c r="G59"/>
  <c r="AC59" s="1"/>
  <c r="G57"/>
  <c r="AC57" s="1"/>
  <c r="G56"/>
  <c r="AC56" s="1"/>
  <c r="G55"/>
  <c r="AC55" s="1"/>
  <c r="G54"/>
  <c r="AC54" s="1"/>
  <c r="G53"/>
  <c r="AC53" s="1"/>
  <c r="G51"/>
  <c r="AC51" s="1"/>
  <c r="G50"/>
  <c r="AC50" s="1"/>
  <c r="G48"/>
  <c r="AC48" s="1"/>
  <c r="G47"/>
  <c r="AC47" s="1"/>
  <c r="G45"/>
  <c r="AC45" s="1"/>
  <c r="G44"/>
  <c r="AC44" s="1"/>
  <c r="G43"/>
  <c r="AC43" s="1"/>
  <c r="G42"/>
  <c r="AC42" s="1"/>
  <c r="G41"/>
  <c r="AC41" s="1"/>
  <c r="G40"/>
  <c r="AC40" s="1"/>
  <c r="G39"/>
  <c r="AC39" s="1"/>
  <c r="G38"/>
  <c r="AC38" s="1"/>
  <c r="G37"/>
  <c r="AC37" s="1"/>
  <c r="G35"/>
  <c r="AC35" s="1"/>
  <c r="G34"/>
  <c r="AC34" s="1"/>
  <c r="G32"/>
  <c r="AC32" s="1"/>
  <c r="G31"/>
  <c r="AC31" s="1"/>
  <c r="G29"/>
  <c r="AC29" s="1"/>
  <c r="G28"/>
  <c r="AC28" s="1"/>
  <c r="G26"/>
  <c r="AC26" s="1"/>
  <c r="G25"/>
  <c r="AC25" s="1"/>
  <c r="G24"/>
  <c r="AC24" s="1"/>
  <c r="G23"/>
  <c r="AC23" s="1"/>
  <c r="G22"/>
  <c r="AC22" s="1"/>
  <c r="G21"/>
  <c r="AC21" s="1"/>
  <c r="G19"/>
  <c r="AC19" s="1"/>
  <c r="G18"/>
  <c r="AC18" s="1"/>
  <c r="G16"/>
  <c r="AC16" s="1"/>
  <c r="G15"/>
  <c r="AC15" s="1"/>
  <c r="G13"/>
  <c r="AC13" s="1"/>
  <c r="G12"/>
  <c r="AC12" s="1"/>
  <c r="AC10"/>
  <c r="AC9"/>
  <c r="AC8"/>
  <c r="G119" i="2"/>
  <c r="E6"/>
  <c r="T214" l="1"/>
  <c r="L60" i="24"/>
  <c r="AH60" s="1"/>
  <c r="L59"/>
  <c r="AH59" s="1"/>
  <c r="L57"/>
  <c r="AH57" s="1"/>
  <c r="L56"/>
  <c r="AH56" s="1"/>
  <c r="L55"/>
  <c r="AH55" s="1"/>
  <c r="L54"/>
  <c r="AH54" s="1"/>
  <c r="L53"/>
  <c r="AH53" s="1"/>
  <c r="L51"/>
  <c r="AH51" s="1"/>
  <c r="L50"/>
  <c r="AH50" s="1"/>
  <c r="L48"/>
  <c r="AH48" s="1"/>
  <c r="L47"/>
  <c r="AH47" s="1"/>
  <c r="L45"/>
  <c r="AH45" s="1"/>
  <c r="L44"/>
  <c r="AH44" s="1"/>
  <c r="L43"/>
  <c r="AH43" s="1"/>
  <c r="L42"/>
  <c r="AH42" s="1"/>
  <c r="L41"/>
  <c r="AH41" s="1"/>
  <c r="L40"/>
  <c r="AH40" s="1"/>
  <c r="L39"/>
  <c r="AH39" s="1"/>
  <c r="L38"/>
  <c r="AH38" s="1"/>
  <c r="L37"/>
  <c r="AH37" s="1"/>
  <c r="L35"/>
  <c r="AH35" s="1"/>
  <c r="L34"/>
  <c r="AH34" s="1"/>
  <c r="L32"/>
  <c r="AH32" s="1"/>
  <c r="L31"/>
  <c r="AH31" s="1"/>
  <c r="L29"/>
  <c r="AH29" s="1"/>
  <c r="L28"/>
  <c r="AH28" s="1"/>
  <c r="L26"/>
  <c r="AH26" s="1"/>
  <c r="L25"/>
  <c r="AH25" s="1"/>
  <c r="L24"/>
  <c r="AH24" s="1"/>
  <c r="L23"/>
  <c r="AH23" s="1"/>
  <c r="L22"/>
  <c r="AH22" s="1"/>
  <c r="L21"/>
  <c r="AH21" s="1"/>
  <c r="L19"/>
  <c r="AH19" s="1"/>
  <c r="L18"/>
  <c r="AH18" s="1"/>
  <c r="L16"/>
  <c r="AH16" s="1"/>
  <c r="L15"/>
  <c r="AH15" s="1"/>
  <c r="L13"/>
  <c r="AH13" s="1"/>
  <c r="L12"/>
  <c r="AH12" s="1"/>
  <c r="L10"/>
  <c r="AH10" s="1"/>
  <c r="L9"/>
  <c r="AH9" s="1"/>
  <c r="L8"/>
  <c r="AH8" s="1"/>
  <c r="T219" i="2"/>
  <c r="E81"/>
  <c r="K60" i="24" l="1"/>
  <c r="AG60" s="1"/>
  <c r="K59"/>
  <c r="AG59" s="1"/>
  <c r="K57"/>
  <c r="AG57" s="1"/>
  <c r="K56"/>
  <c r="AG56" s="1"/>
  <c r="K55"/>
  <c r="AG55" s="1"/>
  <c r="K54"/>
  <c r="AG54" s="1"/>
  <c r="K53"/>
  <c r="AG53" s="1"/>
  <c r="K51"/>
  <c r="AG51" s="1"/>
  <c r="K50"/>
  <c r="AG50" s="1"/>
  <c r="K48"/>
  <c r="AG48" s="1"/>
  <c r="K47"/>
  <c r="AG47" s="1"/>
  <c r="K45"/>
  <c r="AG45" s="1"/>
  <c r="K44"/>
  <c r="AG44" s="1"/>
  <c r="K43"/>
  <c r="AG43" s="1"/>
  <c r="K42"/>
  <c r="AG42" s="1"/>
  <c r="K41"/>
  <c r="AG41" s="1"/>
  <c r="K40"/>
  <c r="AG40" s="1"/>
  <c r="K39"/>
  <c r="AG39" s="1"/>
  <c r="K38"/>
  <c r="AG38" s="1"/>
  <c r="K37"/>
  <c r="AG37" s="1"/>
  <c r="K35"/>
  <c r="AG35" s="1"/>
  <c r="K34"/>
  <c r="AG34" s="1"/>
  <c r="K32"/>
  <c r="AG32" s="1"/>
  <c r="K31"/>
  <c r="AG31" s="1"/>
  <c r="K29"/>
  <c r="AG29" s="1"/>
  <c r="K28"/>
  <c r="AG28" s="1"/>
  <c r="K26"/>
  <c r="AG26" s="1"/>
  <c r="K25"/>
  <c r="AG25" s="1"/>
  <c r="K24"/>
  <c r="AG24" s="1"/>
  <c r="K23"/>
  <c r="AG23" s="1"/>
  <c r="K22"/>
  <c r="AG22" s="1"/>
  <c r="K21"/>
  <c r="AG21" s="1"/>
  <c r="K19"/>
  <c r="AG19" s="1"/>
  <c r="K18"/>
  <c r="AG18" s="1"/>
  <c r="K16"/>
  <c r="AG16" s="1"/>
  <c r="K15"/>
  <c r="AG15" s="1"/>
  <c r="K13"/>
  <c r="AG13" s="1"/>
  <c r="K12"/>
  <c r="AG12" s="1"/>
  <c r="K10"/>
  <c r="AG10" s="1"/>
  <c r="AG9"/>
  <c r="K8"/>
  <c r="AG8" l="1"/>
  <c r="K11"/>
  <c r="J60"/>
  <c r="AF60" s="1"/>
  <c r="J59"/>
  <c r="AF59" s="1"/>
  <c r="J54"/>
  <c r="AF54" s="1"/>
  <c r="J53"/>
  <c r="AF53" s="1"/>
  <c r="J51"/>
  <c r="AF51" s="1"/>
  <c r="J50"/>
  <c r="AF50" s="1"/>
  <c r="J48"/>
  <c r="AF48" s="1"/>
  <c r="J47"/>
  <c r="AF47" s="1"/>
  <c r="J45"/>
  <c r="AF45" s="1"/>
  <c r="J44"/>
  <c r="AF44" s="1"/>
  <c r="J43"/>
  <c r="AF43" s="1"/>
  <c r="J42"/>
  <c r="AF42" s="1"/>
  <c r="J41"/>
  <c r="AF41" s="1"/>
  <c r="J40"/>
  <c r="AF40" s="1"/>
  <c r="J39"/>
  <c r="AF39" s="1"/>
  <c r="J38"/>
  <c r="AF38" s="1"/>
  <c r="J37"/>
  <c r="AF37" s="1"/>
  <c r="J35"/>
  <c r="AF35" s="1"/>
  <c r="J34"/>
  <c r="AF34" s="1"/>
  <c r="J32"/>
  <c r="AF32" s="1"/>
  <c r="J31"/>
  <c r="AF31" s="1"/>
  <c r="J29"/>
  <c r="AF29" s="1"/>
  <c r="J28"/>
  <c r="AF28" s="1"/>
  <c r="J26"/>
  <c r="AF26" s="1"/>
  <c r="J25"/>
  <c r="AF25" s="1"/>
  <c r="J24"/>
  <c r="AF24" s="1"/>
  <c r="J23"/>
  <c r="AF23" s="1"/>
  <c r="J22"/>
  <c r="AF22" s="1"/>
  <c r="J21"/>
  <c r="AF21" s="1"/>
  <c r="J19"/>
  <c r="AF19" s="1"/>
  <c r="J18"/>
  <c r="AF18" s="1"/>
  <c r="J16"/>
  <c r="AF16" s="1"/>
  <c r="J15"/>
  <c r="AF15" s="1"/>
  <c r="J13"/>
  <c r="AF13" s="1"/>
  <c r="J12"/>
  <c r="AF12" s="1"/>
  <c r="J10"/>
  <c r="AF10" s="1"/>
  <c r="J9"/>
  <c r="AF9" s="1"/>
  <c r="J8"/>
  <c r="AF8" s="1"/>
  <c r="O97" i="2"/>
  <c r="O96"/>
  <c r="E82"/>
  <c r="I60" i="24" l="1"/>
  <c r="AE60" s="1"/>
  <c r="I59"/>
  <c r="AE59" s="1"/>
  <c r="I57"/>
  <c r="AE57" s="1"/>
  <c r="I56"/>
  <c r="AE56" s="1"/>
  <c r="I55"/>
  <c r="AE55" s="1"/>
  <c r="I54"/>
  <c r="AE54" s="1"/>
  <c r="I53"/>
  <c r="AE53" s="1"/>
  <c r="I51"/>
  <c r="AE51" s="1"/>
  <c r="I50"/>
  <c r="AE50" s="1"/>
  <c r="I48"/>
  <c r="AE48" s="1"/>
  <c r="I47"/>
  <c r="AE47" s="1"/>
  <c r="I45"/>
  <c r="AE45" s="1"/>
  <c r="I44"/>
  <c r="AE44" s="1"/>
  <c r="I43"/>
  <c r="AE43" s="1"/>
  <c r="I42"/>
  <c r="AE42" s="1"/>
  <c r="I41"/>
  <c r="AE41" s="1"/>
  <c r="I40"/>
  <c r="AE40" s="1"/>
  <c r="I39"/>
  <c r="AE39" s="1"/>
  <c r="I38"/>
  <c r="AE38" s="1"/>
  <c r="I37"/>
  <c r="AE37" s="1"/>
  <c r="I35"/>
  <c r="AE35" s="1"/>
  <c r="I34"/>
  <c r="AE34" s="1"/>
  <c r="I32"/>
  <c r="AE32" s="1"/>
  <c r="I31"/>
  <c r="AE31" s="1"/>
  <c r="I29"/>
  <c r="AE29" s="1"/>
  <c r="I28"/>
  <c r="AE28" s="1"/>
  <c r="I26"/>
  <c r="AE26" s="1"/>
  <c r="I25"/>
  <c r="AE25" s="1"/>
  <c r="I24"/>
  <c r="AE24" s="1"/>
  <c r="I23"/>
  <c r="AE23" s="1"/>
  <c r="I22"/>
  <c r="AE22" s="1"/>
  <c r="I21"/>
  <c r="AE21" s="1"/>
  <c r="I19"/>
  <c r="AE19" s="1"/>
  <c r="I18"/>
  <c r="AE18" s="1"/>
  <c r="I16"/>
  <c r="AE16" s="1"/>
  <c r="I15"/>
  <c r="AE15" s="1"/>
  <c r="I13"/>
  <c r="AE13" s="1"/>
  <c r="I12"/>
  <c r="AE12" s="1"/>
  <c r="I10"/>
  <c r="AE10" s="1"/>
  <c r="I9"/>
  <c r="AE9" s="1"/>
  <c r="I8"/>
  <c r="AE8" s="1"/>
  <c r="P95" i="2"/>
  <c r="L95"/>
  <c r="I95"/>
  <c r="E95"/>
  <c r="H60" i="24" l="1"/>
  <c r="AD60" s="1"/>
  <c r="H59"/>
  <c r="AD59" s="1"/>
  <c r="H57"/>
  <c r="AD57" s="1"/>
  <c r="H56"/>
  <c r="AD56" s="1"/>
  <c r="H55"/>
  <c r="AD55" s="1"/>
  <c r="H54"/>
  <c r="AD54" s="1"/>
  <c r="H53"/>
  <c r="AD53" s="1"/>
  <c r="H51"/>
  <c r="AD51" s="1"/>
  <c r="H50"/>
  <c r="AD50" s="1"/>
  <c r="H48"/>
  <c r="AD48" s="1"/>
  <c r="H47"/>
  <c r="AD47" s="1"/>
  <c r="H45"/>
  <c r="AD45" s="1"/>
  <c r="H44"/>
  <c r="AD44" s="1"/>
  <c r="H43"/>
  <c r="AD43" s="1"/>
  <c r="H42"/>
  <c r="AD42" s="1"/>
  <c r="H41"/>
  <c r="AD41" s="1"/>
  <c r="H40"/>
  <c r="AD40" s="1"/>
  <c r="H39"/>
  <c r="AD39" s="1"/>
  <c r="H38"/>
  <c r="AD38" s="1"/>
  <c r="H37"/>
  <c r="AD37" s="1"/>
  <c r="H35"/>
  <c r="AD35" s="1"/>
  <c r="H34"/>
  <c r="AD34" s="1"/>
  <c r="H32"/>
  <c r="AD32" s="1"/>
  <c r="H31"/>
  <c r="AD31" s="1"/>
  <c r="H29"/>
  <c r="AD29" s="1"/>
  <c r="H28"/>
  <c r="AD28" s="1"/>
  <c r="H26"/>
  <c r="AD26" s="1"/>
  <c r="H25"/>
  <c r="AD25" s="1"/>
  <c r="AD24"/>
  <c r="H23"/>
  <c r="AD23" s="1"/>
  <c r="H22"/>
  <c r="AD22" s="1"/>
  <c r="H21"/>
  <c r="AD21" s="1"/>
  <c r="H19"/>
  <c r="AD19" s="1"/>
  <c r="H18"/>
  <c r="AD18" s="1"/>
  <c r="H16"/>
  <c r="AD16" s="1"/>
  <c r="H15"/>
  <c r="AD15" s="1"/>
  <c r="H13"/>
  <c r="AD13" s="1"/>
  <c r="H12"/>
  <c r="AD12" s="1"/>
  <c r="H10"/>
  <c r="AD10" s="1"/>
  <c r="H9"/>
  <c r="AD9" s="1"/>
  <c r="H8"/>
  <c r="AD8" s="1"/>
  <c r="E113" i="2"/>
  <c r="E159" s="1"/>
  <c r="E60" i="24" l="1"/>
  <c r="AA60" s="1"/>
  <c r="E59"/>
  <c r="AA59" s="1"/>
  <c r="E56"/>
  <c r="AA56" s="1"/>
  <c r="E54"/>
  <c r="AA54" s="1"/>
  <c r="E53"/>
  <c r="AA53" s="1"/>
  <c r="E51"/>
  <c r="AA51" s="1"/>
  <c r="E50"/>
  <c r="AA50" s="1"/>
  <c r="E48"/>
  <c r="AA48" s="1"/>
  <c r="E47"/>
  <c r="AA47" s="1"/>
  <c r="E45"/>
  <c r="AA45" s="1"/>
  <c r="E44"/>
  <c r="AA44" s="1"/>
  <c r="E43"/>
  <c r="AA43" s="1"/>
  <c r="E42"/>
  <c r="AA42" s="1"/>
  <c r="E41"/>
  <c r="AA41" s="1"/>
  <c r="E40"/>
  <c r="AA40" s="1"/>
  <c r="E39"/>
  <c r="AA39" s="1"/>
  <c r="E38"/>
  <c r="AA38" s="1"/>
  <c r="E37"/>
  <c r="AA37" s="1"/>
  <c r="E35"/>
  <c r="AA35" s="1"/>
  <c r="E34"/>
  <c r="AA34" s="1"/>
  <c r="E32"/>
  <c r="AA32" s="1"/>
  <c r="E31"/>
  <c r="AA31" s="1"/>
  <c r="E29"/>
  <c r="AA29" s="1"/>
  <c r="E28"/>
  <c r="AA28" s="1"/>
  <c r="E26"/>
  <c r="AA26" s="1"/>
  <c r="E25"/>
  <c r="AA25" s="1"/>
  <c r="E24"/>
  <c r="AA24" s="1"/>
  <c r="E23"/>
  <c r="AA23" s="1"/>
  <c r="E22"/>
  <c r="AA22" s="1"/>
  <c r="E21"/>
  <c r="AA21" s="1"/>
  <c r="E19"/>
  <c r="AA19" s="1"/>
  <c r="E18"/>
  <c r="AA18" s="1"/>
  <c r="E16"/>
  <c r="AA16" s="1"/>
  <c r="E15"/>
  <c r="AA15" s="1"/>
  <c r="AA13"/>
  <c r="E12"/>
  <c r="AA12" s="1"/>
  <c r="E10"/>
  <c r="AA10" s="1"/>
  <c r="E9"/>
  <c r="AA9" s="1"/>
  <c r="E8"/>
  <c r="AA8" s="1"/>
  <c r="E12" i="2"/>
  <c r="D60" i="24" l="1"/>
  <c r="Z60" s="1"/>
  <c r="D59"/>
  <c r="Z59" s="1"/>
  <c r="D57"/>
  <c r="D56"/>
  <c r="D55"/>
  <c r="D54"/>
  <c r="D53"/>
  <c r="Z51"/>
  <c r="D50"/>
  <c r="Z50" s="1"/>
  <c r="Z48"/>
  <c r="Z47"/>
  <c r="D45"/>
  <c r="Z45" s="1"/>
  <c r="D44"/>
  <c r="Z44" s="1"/>
  <c r="D43"/>
  <c r="Z43" s="1"/>
  <c r="D42"/>
  <c r="Z42" s="1"/>
  <c r="D41"/>
  <c r="Z41" s="1"/>
  <c r="D40"/>
  <c r="Z40" s="1"/>
  <c r="D39"/>
  <c r="Z39" s="1"/>
  <c r="D38"/>
  <c r="Z38" s="1"/>
  <c r="D37"/>
  <c r="Z37" s="1"/>
  <c r="D35"/>
  <c r="Z35" s="1"/>
  <c r="D34"/>
  <c r="Z34" s="1"/>
  <c r="D32"/>
  <c r="Z32" s="1"/>
  <c r="D31"/>
  <c r="Z31" s="1"/>
  <c r="D29"/>
  <c r="Z29" s="1"/>
  <c r="D28"/>
  <c r="Z28" s="1"/>
  <c r="D26"/>
  <c r="Z26" s="1"/>
  <c r="D25"/>
  <c r="Z25" s="1"/>
  <c r="D24"/>
  <c r="Z24" s="1"/>
  <c r="D23"/>
  <c r="Z23" s="1"/>
  <c r="D22"/>
  <c r="Z22" s="1"/>
  <c r="D21"/>
  <c r="Z21" s="1"/>
  <c r="D19"/>
  <c r="Z19" s="1"/>
  <c r="D18"/>
  <c r="Z18" s="1"/>
  <c r="D16"/>
  <c r="Z16" s="1"/>
  <c r="D15"/>
  <c r="Z15" s="1"/>
  <c r="D13"/>
  <c r="Z13" s="1"/>
  <c r="D12"/>
  <c r="Z12" s="1"/>
  <c r="Z10"/>
  <c r="D9"/>
  <c r="D8"/>
  <c r="Z53" l="1"/>
  <c r="M53"/>
  <c r="AI53" s="1"/>
  <c r="Z9"/>
  <c r="M9"/>
  <c r="AI9" s="1"/>
  <c r="Z8"/>
  <c r="M8"/>
  <c r="AI8" s="1"/>
  <c r="Z55"/>
  <c r="M55"/>
  <c r="AI55" s="1"/>
  <c r="Z54"/>
  <c r="M54"/>
  <c r="AI54" s="1"/>
  <c r="Z57"/>
  <c r="M57"/>
  <c r="AI57" s="1"/>
  <c r="Z56"/>
  <c r="M56"/>
  <c r="AI56" s="1"/>
  <c r="S4" i="2"/>
  <c r="T4"/>
  <c r="E50"/>
  <c r="P176" l="1"/>
  <c r="P174"/>
  <c r="P173"/>
  <c r="P171"/>
  <c r="P169"/>
  <c r="P167"/>
  <c r="P165"/>
  <c r="P163"/>
  <c r="L176"/>
  <c r="L174"/>
  <c r="L173"/>
  <c r="L171"/>
  <c r="L169"/>
  <c r="L167"/>
  <c r="L165"/>
  <c r="L163"/>
  <c r="I176"/>
  <c r="I174"/>
  <c r="I173"/>
  <c r="I171"/>
  <c r="I169"/>
  <c r="I167"/>
  <c r="I165"/>
  <c r="I163"/>
  <c r="E163"/>
  <c r="F58" i="24"/>
  <c r="L58"/>
  <c r="AH58" s="1"/>
  <c r="K58"/>
  <c r="AG58" s="1"/>
  <c r="J58"/>
  <c r="AF58" s="1"/>
  <c r="I58"/>
  <c r="AE58" s="1"/>
  <c r="H58"/>
  <c r="AD58" s="1"/>
  <c r="G58"/>
  <c r="AC58" s="1"/>
  <c r="E58"/>
  <c r="AA58" s="1"/>
  <c r="D58"/>
  <c r="Z58" s="1"/>
  <c r="F60"/>
  <c r="F59"/>
  <c r="F5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E56" i="2"/>
  <c r="T213" l="1"/>
  <c r="AB19" i="24"/>
  <c r="M19"/>
  <c r="AI19" s="1"/>
  <c r="AB15"/>
  <c r="M15"/>
  <c r="AI15" s="1"/>
  <c r="AB21"/>
  <c r="M21"/>
  <c r="AI21" s="1"/>
  <c r="AB25"/>
  <c r="M25"/>
  <c r="AI25" s="1"/>
  <c r="AB31"/>
  <c r="M31"/>
  <c r="AI31" s="1"/>
  <c r="AB37"/>
  <c r="M37"/>
  <c r="AI37" s="1"/>
  <c r="AB41"/>
  <c r="M41"/>
  <c r="AI41" s="1"/>
  <c r="AB45"/>
  <c r="M45"/>
  <c r="AI45" s="1"/>
  <c r="AB51"/>
  <c r="M51"/>
  <c r="AI51" s="1"/>
  <c r="AB13"/>
  <c r="M13"/>
  <c r="AI13" s="1"/>
  <c r="AB24"/>
  <c r="M24"/>
  <c r="AI24" s="1"/>
  <c r="AB29"/>
  <c r="M29"/>
  <c r="AI29" s="1"/>
  <c r="AB35"/>
  <c r="M35"/>
  <c r="AI35" s="1"/>
  <c r="AB40"/>
  <c r="M40"/>
  <c r="AI40" s="1"/>
  <c r="AB44"/>
  <c r="M44"/>
  <c r="AI44" s="1"/>
  <c r="AB50"/>
  <c r="M50"/>
  <c r="AI50" s="1"/>
  <c r="AB12"/>
  <c r="M12"/>
  <c r="AI12" s="1"/>
  <c r="AB18"/>
  <c r="M18"/>
  <c r="AI18" s="1"/>
  <c r="AB23"/>
  <c r="M23"/>
  <c r="AI23" s="1"/>
  <c r="AB28"/>
  <c r="M28"/>
  <c r="AI28" s="1"/>
  <c r="AB34"/>
  <c r="M34"/>
  <c r="AI34" s="1"/>
  <c r="AB39"/>
  <c r="M39"/>
  <c r="AI39" s="1"/>
  <c r="AB43"/>
  <c r="M43"/>
  <c r="AI43" s="1"/>
  <c r="AB48"/>
  <c r="M48"/>
  <c r="AI48" s="1"/>
  <c r="AB60"/>
  <c r="M60"/>
  <c r="AI60" s="1"/>
  <c r="AB10"/>
  <c r="M10"/>
  <c r="AI10" s="1"/>
  <c r="AB16"/>
  <c r="M16"/>
  <c r="AI16" s="1"/>
  <c r="AB22"/>
  <c r="M22"/>
  <c r="AI22" s="1"/>
  <c r="AB26"/>
  <c r="M26"/>
  <c r="AI26" s="1"/>
  <c r="AB32"/>
  <c r="M32"/>
  <c r="AI32" s="1"/>
  <c r="AB38"/>
  <c r="M38"/>
  <c r="AI38" s="1"/>
  <c r="AB42"/>
  <c r="M42"/>
  <c r="AI42" s="1"/>
  <c r="AB47"/>
  <c r="M47"/>
  <c r="AI47" s="1"/>
  <c r="AB59"/>
  <c r="M59"/>
  <c r="AI59" s="1"/>
  <c r="T40" i="2"/>
  <c r="O104"/>
  <c r="O159"/>
  <c r="L52" i="24"/>
  <c r="AH52" s="1"/>
  <c r="K52"/>
  <c r="AG52" s="1"/>
  <c r="L61"/>
  <c r="AH61" s="1"/>
  <c r="K61"/>
  <c r="AG61" s="1"/>
  <c r="J61"/>
  <c r="AF61" s="1"/>
  <c r="I61"/>
  <c r="AE61" s="1"/>
  <c r="H61"/>
  <c r="AD61" s="1"/>
  <c r="G61"/>
  <c r="AC61" s="1"/>
  <c r="F61"/>
  <c r="AB61" s="1"/>
  <c r="E61"/>
  <c r="AA61" s="1"/>
  <c r="D61"/>
  <c r="Z61" s="1"/>
  <c r="G52"/>
  <c r="AC52" s="1"/>
  <c r="F52"/>
  <c r="AB52" s="1"/>
  <c r="H52"/>
  <c r="AD52" s="1"/>
  <c r="K49"/>
  <c r="AG49" s="1"/>
  <c r="J49"/>
  <c r="AF49" s="1"/>
  <c r="G49"/>
  <c r="AC49" s="1"/>
  <c r="F49"/>
  <c r="AB49" s="1"/>
  <c r="K46"/>
  <c r="AG46" s="1"/>
  <c r="G46"/>
  <c r="AC46" s="1"/>
  <c r="F46"/>
  <c r="AB46" s="1"/>
  <c r="L46"/>
  <c r="AH46" s="1"/>
  <c r="H46"/>
  <c r="AD46" s="1"/>
  <c r="O39"/>
  <c r="K36"/>
  <c r="AG36" s="1"/>
  <c r="G36"/>
  <c r="AC36" s="1"/>
  <c r="L36"/>
  <c r="AH36" s="1"/>
  <c r="J36"/>
  <c r="AF36" s="1"/>
  <c r="I36"/>
  <c r="AE36" s="1"/>
  <c r="H36"/>
  <c r="AD36" s="1"/>
  <c r="E36"/>
  <c r="AA36" s="1"/>
  <c r="D36"/>
  <c r="Z36" s="1"/>
  <c r="G33"/>
  <c r="AC33" s="1"/>
  <c r="E33"/>
  <c r="AA33" s="1"/>
  <c r="L33"/>
  <c r="AH33" s="1"/>
  <c r="K33"/>
  <c r="AG33" s="1"/>
  <c r="J33"/>
  <c r="AF33" s="1"/>
  <c r="I33"/>
  <c r="AE33" s="1"/>
  <c r="H33"/>
  <c r="AD33" s="1"/>
  <c r="F33"/>
  <c r="AB33" s="1"/>
  <c r="K30"/>
  <c r="AG30" s="1"/>
  <c r="J30"/>
  <c r="AF30" s="1"/>
  <c r="G30"/>
  <c r="AC30" s="1"/>
  <c r="F30"/>
  <c r="AB30" s="1"/>
  <c r="E30"/>
  <c r="AA30" s="1"/>
  <c r="K27"/>
  <c r="AG27" s="1"/>
  <c r="J27"/>
  <c r="AF27" s="1"/>
  <c r="G27"/>
  <c r="AC27" s="1"/>
  <c r="I27"/>
  <c r="AE27" s="1"/>
  <c r="F27"/>
  <c r="AB27" s="1"/>
  <c r="E27"/>
  <c r="AA27" s="1"/>
  <c r="D27"/>
  <c r="Z27" s="1"/>
  <c r="K20"/>
  <c r="AG20" s="1"/>
  <c r="G20"/>
  <c r="AC20" s="1"/>
  <c r="L20"/>
  <c r="AH20" s="1"/>
  <c r="J20"/>
  <c r="AF20" s="1"/>
  <c r="H20"/>
  <c r="AD20" s="1"/>
  <c r="F20"/>
  <c r="AB20" s="1"/>
  <c r="E20"/>
  <c r="AA20" s="1"/>
  <c r="J17"/>
  <c r="AF17" s="1"/>
  <c r="G17"/>
  <c r="AC17" s="1"/>
  <c r="F17"/>
  <c r="AB17" s="1"/>
  <c r="E17"/>
  <c r="AA17" s="1"/>
  <c r="P16"/>
  <c r="U15"/>
  <c r="L17"/>
  <c r="AH17" s="1"/>
  <c r="K17"/>
  <c r="AG17" s="1"/>
  <c r="H17"/>
  <c r="AD17" s="1"/>
  <c r="D17"/>
  <c r="Z17" s="1"/>
  <c r="J14"/>
  <c r="AF14" s="1"/>
  <c r="G14"/>
  <c r="AC14" s="1"/>
  <c r="H14"/>
  <c r="AD14" s="1"/>
  <c r="E14"/>
  <c r="J11"/>
  <c r="AF11" s="1"/>
  <c r="G11"/>
  <c r="AC11" s="1"/>
  <c r="E11"/>
  <c r="AA11" s="1"/>
  <c r="Q9"/>
  <c r="Q12" s="1"/>
  <c r="AG11"/>
  <c r="D11"/>
  <c r="Z11" s="1"/>
  <c r="P7"/>
  <c r="P6"/>
  <c r="AI3"/>
  <c r="AH3"/>
  <c r="AG3"/>
  <c r="AF3"/>
  <c r="AE3"/>
  <c r="AD3"/>
  <c r="AC3"/>
  <c r="AB3"/>
  <c r="AA3"/>
  <c r="Z3"/>
  <c r="Y3"/>
  <c r="M61" l="1"/>
  <c r="AI61" s="1"/>
  <c r="AA14"/>
  <c r="M52"/>
  <c r="AI52" s="1"/>
  <c r="M49"/>
  <c r="AI49" s="1"/>
  <c r="M46"/>
  <c r="AI46" s="1"/>
  <c r="M33"/>
  <c r="AI33" s="1"/>
  <c r="M58"/>
  <c r="AI58" s="1"/>
  <c r="N18"/>
  <c r="M27"/>
  <c r="AI27" s="1"/>
  <c r="N25"/>
  <c r="O25"/>
  <c r="L27"/>
  <c r="AH27" s="1"/>
  <c r="M36"/>
  <c r="AI36" s="1"/>
  <c r="N34"/>
  <c r="N39"/>
  <c r="E52"/>
  <c r="AA52" s="1"/>
  <c r="J52"/>
  <c r="AF52" s="1"/>
  <c r="N28"/>
  <c r="H30"/>
  <c r="AD30" s="1"/>
  <c r="L30"/>
  <c r="AH30" s="1"/>
  <c r="F36"/>
  <c r="AB36" s="1"/>
  <c r="E46"/>
  <c r="AA46" s="1"/>
  <c r="J46"/>
  <c r="AF46" s="1"/>
  <c r="D49"/>
  <c r="Z49" s="1"/>
  <c r="I49"/>
  <c r="AE49" s="1"/>
  <c r="F14"/>
  <c r="AB14" s="1"/>
  <c r="I17"/>
  <c r="AE17" s="1"/>
  <c r="D20"/>
  <c r="Z20" s="1"/>
  <c r="D30"/>
  <c r="Z30" s="1"/>
  <c r="H11"/>
  <c r="AD11" s="1"/>
  <c r="L11"/>
  <c r="AH11" s="1"/>
  <c r="K14"/>
  <c r="AG14" s="1"/>
  <c r="I52"/>
  <c r="AE52" s="1"/>
  <c r="L14"/>
  <c r="AH14" s="1"/>
  <c r="I20"/>
  <c r="AE20" s="1"/>
  <c r="H27"/>
  <c r="AD27" s="1"/>
  <c r="N41"/>
  <c r="I14"/>
  <c r="AE14" s="1"/>
  <c r="D33"/>
  <c r="Z33" s="1"/>
  <c r="I11"/>
  <c r="AE11" s="1"/>
  <c r="I30"/>
  <c r="AE30" s="1"/>
  <c r="F11"/>
  <c r="AB11" s="1"/>
  <c r="D14"/>
  <c r="Z14" s="1"/>
  <c r="M17"/>
  <c r="AI17" s="1"/>
  <c r="O41"/>
  <c r="I46"/>
  <c r="AE46" s="1"/>
  <c r="U14"/>
  <c r="D46"/>
  <c r="Z46" s="1"/>
  <c r="H49"/>
  <c r="AD49" s="1"/>
  <c r="L49"/>
  <c r="AH49" s="1"/>
  <c r="D52"/>
  <c r="Z52" s="1"/>
  <c r="H38" i="2"/>
  <c r="H35"/>
  <c r="H34"/>
  <c r="H33"/>
  <c r="H31"/>
  <c r="H28"/>
  <c r="H27"/>
  <c r="H24"/>
  <c r="H22"/>
  <c r="H21"/>
  <c r="H19"/>
  <c r="H18"/>
  <c r="H17"/>
  <c r="H12"/>
  <c r="N24" i="24" l="1"/>
  <c r="O24"/>
  <c r="N27"/>
  <c r="O27"/>
  <c r="M11"/>
  <c r="N36"/>
  <c r="O14"/>
  <c r="O11"/>
  <c r="M30"/>
  <c r="AI30" s="1"/>
  <c r="M20"/>
  <c r="AI20" s="1"/>
  <c r="M14"/>
  <c r="AI14" s="1"/>
  <c r="N8" l="1"/>
  <c r="AI11"/>
  <c r="N20"/>
  <c r="O18"/>
  <c r="N14"/>
  <c r="N12"/>
  <c r="N33"/>
  <c r="N30"/>
  <c r="P28"/>
  <c r="N10"/>
  <c r="N31"/>
  <c r="AE51" i="23"/>
  <c r="AE50"/>
  <c r="AE47"/>
  <c r="AC51"/>
  <c r="AC50"/>
  <c r="AA49"/>
  <c r="AE48"/>
  <c r="AC48"/>
  <c r="AC47"/>
  <c r="AC45"/>
  <c r="AC44"/>
  <c r="AC43"/>
  <c r="AC42"/>
  <c r="AC41"/>
  <c r="AC40"/>
  <c r="AC39"/>
  <c r="AC38"/>
  <c r="AC37"/>
  <c r="AC35"/>
  <c r="AC34"/>
  <c r="AC32"/>
  <c r="AC31"/>
  <c r="AC29"/>
  <c r="AC28"/>
  <c r="AC26"/>
  <c r="AC25"/>
  <c r="AC24"/>
  <c r="AC23"/>
  <c r="AC22"/>
  <c r="AC21"/>
  <c r="AC19"/>
  <c r="AC18"/>
  <c r="AC16"/>
  <c r="AC15"/>
  <c r="AC13"/>
  <c r="AC12"/>
  <c r="AC10"/>
  <c r="AC9"/>
  <c r="AC8"/>
  <c r="AG7"/>
  <c r="AF7"/>
  <c r="AE7"/>
  <c r="AD7"/>
  <c r="AC7"/>
  <c r="AB7"/>
  <c r="Z7"/>
  <c r="Y7"/>
  <c r="AG35" l="1"/>
  <c r="AG34"/>
  <c r="AG32"/>
  <c r="AG31"/>
  <c r="AG16"/>
  <c r="AG15"/>
  <c r="AG13"/>
  <c r="AG12"/>
  <c r="AG10"/>
  <c r="AG9"/>
  <c r="AG8"/>
  <c r="AE45" l="1"/>
  <c r="AE44"/>
  <c r="AE43"/>
  <c r="AE42"/>
  <c r="AE41"/>
  <c r="AE40"/>
  <c r="AE39"/>
  <c r="AE38"/>
  <c r="AE37"/>
  <c r="AE35"/>
  <c r="AE34"/>
  <c r="AE32"/>
  <c r="AE31"/>
  <c r="AE29"/>
  <c r="AE28"/>
  <c r="AE26"/>
  <c r="AE25"/>
  <c r="AE24"/>
  <c r="AE23"/>
  <c r="AE22"/>
  <c r="AE21"/>
  <c r="AE19"/>
  <c r="AE18"/>
  <c r="AE16"/>
  <c r="AE15"/>
  <c r="AE13"/>
  <c r="AE12"/>
  <c r="AE10"/>
  <c r="AE9"/>
  <c r="AE8"/>
  <c r="N113" i="2"/>
  <c r="I214" l="1"/>
  <c r="Q114" l="1"/>
  <c r="M114"/>
  <c r="M102"/>
  <c r="Q102"/>
  <c r="AG36" i="23"/>
  <c r="AG33"/>
  <c r="U15"/>
  <c r="O39"/>
  <c r="P16"/>
  <c r="Q9"/>
  <c r="Q12" s="1"/>
  <c r="P7"/>
  <c r="P6"/>
  <c r="AI3"/>
  <c r="AH3"/>
  <c r="AG3"/>
  <c r="AF3"/>
  <c r="AE3"/>
  <c r="AD3"/>
  <c r="AC3"/>
  <c r="AB3"/>
  <c r="AA3"/>
  <c r="Z3"/>
  <c r="Y3"/>
  <c r="F26" i="2"/>
  <c r="F102"/>
  <c r="F114"/>
  <c r="F153"/>
  <c r="F202"/>
  <c r="F197"/>
  <c r="F194"/>
  <c r="F191"/>
  <c r="AH2" i="15"/>
  <c r="F75" i="2"/>
  <c r="K14" i="17"/>
  <c r="AG14" i="23" l="1"/>
  <c r="U14"/>
  <c r="O11"/>
  <c r="O14"/>
  <c r="N28"/>
  <c r="F8" i="17"/>
  <c r="AD51"/>
  <c r="AB51"/>
  <c r="AD50"/>
  <c r="AB50"/>
  <c r="Z49"/>
  <c r="AD48"/>
  <c r="AB48"/>
  <c r="AD47"/>
  <c r="AB47"/>
  <c r="AD45"/>
  <c r="AB45"/>
  <c r="AD44"/>
  <c r="AB44"/>
  <c r="AD43"/>
  <c r="AB43"/>
  <c r="AD42"/>
  <c r="AB42"/>
  <c r="AD41"/>
  <c r="AB41"/>
  <c r="AD40"/>
  <c r="AB40"/>
  <c r="AD39"/>
  <c r="AB39"/>
  <c r="AD38"/>
  <c r="AB38"/>
  <c r="AD37"/>
  <c r="AB37"/>
  <c r="AD35"/>
  <c r="AB35"/>
  <c r="AD34"/>
  <c r="AB34"/>
  <c r="AD32"/>
  <c r="AB32"/>
  <c r="AD31"/>
  <c r="AB31"/>
  <c r="AD29"/>
  <c r="AB29"/>
  <c r="AD28"/>
  <c r="AB28"/>
  <c r="AD26"/>
  <c r="AB26"/>
  <c r="AD25"/>
  <c r="AB25"/>
  <c r="AD24"/>
  <c r="AB24"/>
  <c r="AD23"/>
  <c r="AB23"/>
  <c r="AD22"/>
  <c r="AB22"/>
  <c r="AD21"/>
  <c r="AB21"/>
  <c r="AD19"/>
  <c r="AB19"/>
  <c r="AD18"/>
  <c r="AB18"/>
  <c r="AD16"/>
  <c r="AB16"/>
  <c r="AD15"/>
  <c r="AB15"/>
  <c r="AD13"/>
  <c r="AB13"/>
  <c r="AD12"/>
  <c r="AB12"/>
  <c r="AD10"/>
  <c r="AB10"/>
  <c r="AD9"/>
  <c r="AB9"/>
  <c r="AD8"/>
  <c r="AB8"/>
  <c r="AF7"/>
  <c r="AE7"/>
  <c r="AD7"/>
  <c r="AC7"/>
  <c r="AB7"/>
  <c r="AA7"/>
  <c r="Y7"/>
  <c r="X7"/>
  <c r="AH3"/>
  <c r="AG3"/>
  <c r="AF3"/>
  <c r="AE3"/>
  <c r="AD3"/>
  <c r="AC3"/>
  <c r="AB3"/>
  <c r="AA3"/>
  <c r="Z3"/>
  <c r="Y3"/>
  <c r="X3"/>
  <c r="AH6" i="15" l="1"/>
  <c r="N24" i="23"/>
  <c r="AA8" i="17"/>
  <c r="AB8" i="23"/>
  <c r="O24"/>
  <c r="O41"/>
  <c r="N39"/>
  <c r="N41"/>
  <c r="N25"/>
  <c r="O25"/>
  <c r="N34"/>
  <c r="N18"/>
  <c r="I33" i="17"/>
  <c r="G33"/>
  <c r="H5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AC8" l="1"/>
  <c r="AD8" i="23"/>
  <c r="AC19" i="17"/>
  <c r="AD19" i="23"/>
  <c r="AC24" i="17"/>
  <c r="AD24" i="23"/>
  <c r="AC35" i="17"/>
  <c r="AD35" i="23"/>
  <c r="AC44" i="17"/>
  <c r="AD44" i="23"/>
  <c r="AC23" i="17"/>
  <c r="AD23" i="23"/>
  <c r="AC34" i="17"/>
  <c r="AD34" i="23"/>
  <c r="AC43" i="17"/>
  <c r="AD43" i="23"/>
  <c r="AD33" i="17"/>
  <c r="AE33" i="23"/>
  <c r="AC10" i="17"/>
  <c r="AD10" i="23"/>
  <c r="AC16" i="17"/>
  <c r="AD16" i="23"/>
  <c r="AC22" i="17"/>
  <c r="AD22" i="23"/>
  <c r="AC26" i="17"/>
  <c r="AD26" i="23"/>
  <c r="AC32" i="17"/>
  <c r="AD32" i="23"/>
  <c r="AC38" i="17"/>
  <c r="AD38" i="23"/>
  <c r="AC42" i="17"/>
  <c r="AD42" i="23"/>
  <c r="AC47" i="17"/>
  <c r="AD47" i="23"/>
  <c r="AB33" i="17"/>
  <c r="AC33" i="23"/>
  <c r="AC13" i="17"/>
  <c r="AD13" i="23"/>
  <c r="AC29" i="17"/>
  <c r="AD29" i="23"/>
  <c r="AC40" i="17"/>
  <c r="AD40" i="23"/>
  <c r="AC50" i="17"/>
  <c r="AD50" i="23"/>
  <c r="AC12" i="17"/>
  <c r="AD12" i="23"/>
  <c r="AC18" i="17"/>
  <c r="AD18" i="23"/>
  <c r="AC28" i="17"/>
  <c r="AD28" i="23"/>
  <c r="AC39" i="17"/>
  <c r="AD39" i="23"/>
  <c r="AC48" i="17"/>
  <c r="AD48" i="23"/>
  <c r="AC9" i="17"/>
  <c r="AD9" i="23"/>
  <c r="AC15" i="17"/>
  <c r="AD15" i="23"/>
  <c r="AC21" i="17"/>
  <c r="AD21" i="23"/>
  <c r="AC25" i="17"/>
  <c r="AD25" i="23"/>
  <c r="AC31" i="17"/>
  <c r="AD31" i="23"/>
  <c r="AC37" i="17"/>
  <c r="AD37" i="23"/>
  <c r="AC41" i="17"/>
  <c r="AD41" i="23"/>
  <c r="AC45" i="17"/>
  <c r="AD45" i="23"/>
  <c r="AC51" i="17"/>
  <c r="AD51" i="23"/>
  <c r="N31"/>
  <c r="O18"/>
  <c r="N30"/>
  <c r="P28"/>
  <c r="N10"/>
  <c r="N14"/>
  <c r="O27"/>
  <c r="N27"/>
  <c r="N20"/>
  <c r="N33"/>
  <c r="N46"/>
  <c r="N8"/>
  <c r="N36"/>
  <c r="N12"/>
  <c r="H33" i="17"/>
  <c r="D51"/>
  <c r="C51"/>
  <c r="D50"/>
  <c r="C50"/>
  <c r="D48"/>
  <c r="C48"/>
  <c r="D47"/>
  <c r="C47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5"/>
  <c r="C35"/>
  <c r="D34"/>
  <c r="C34"/>
  <c r="D32"/>
  <c r="C32"/>
  <c r="D31"/>
  <c r="C31"/>
  <c r="D29"/>
  <c r="C29"/>
  <c r="D28"/>
  <c r="C28"/>
  <c r="D26"/>
  <c r="C26"/>
  <c r="D25"/>
  <c r="C25"/>
  <c r="D24"/>
  <c r="C24"/>
  <c r="D23"/>
  <c r="C23"/>
  <c r="D22"/>
  <c r="C22"/>
  <c r="D21"/>
  <c r="C21"/>
  <c r="D19"/>
  <c r="C19"/>
  <c r="D18"/>
  <c r="C18"/>
  <c r="D16"/>
  <c r="C16"/>
  <c r="D15"/>
  <c r="C15"/>
  <c r="D13"/>
  <c r="C13"/>
  <c r="D12"/>
  <c r="C12"/>
  <c r="D10"/>
  <c r="C10"/>
  <c r="D9"/>
  <c r="C9"/>
  <c r="D8"/>
  <c r="C8"/>
  <c r="L51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L10"/>
  <c r="L9"/>
  <c r="L8"/>
  <c r="L7"/>
  <c r="AH31" i="23" l="1"/>
  <c r="Z31"/>
  <c r="AG7" i="17"/>
  <c r="AH7" i="23"/>
  <c r="AG12" i="17"/>
  <c r="AH12" i="23"/>
  <c r="AG23" i="17"/>
  <c r="AH23" i="23"/>
  <c r="AG28" i="17"/>
  <c r="AH28" i="23"/>
  <c r="AG39" i="17"/>
  <c r="AH39" i="23"/>
  <c r="AG43" i="17"/>
  <c r="AH43" i="23"/>
  <c r="AG22" i="17"/>
  <c r="AH22" i="23"/>
  <c r="AG32" i="17"/>
  <c r="AH32" i="23"/>
  <c r="AG42" i="17"/>
  <c r="AH42" i="23"/>
  <c r="AG8" i="17"/>
  <c r="AH8" i="23"/>
  <c r="AG13" i="17"/>
  <c r="AH13" i="23"/>
  <c r="AG19" i="17"/>
  <c r="AH19" i="23"/>
  <c r="AG24" i="17"/>
  <c r="AH24" i="23"/>
  <c r="AG29" i="17"/>
  <c r="AH29" i="23"/>
  <c r="AG35" i="17"/>
  <c r="AH35" i="23"/>
  <c r="AG40" i="17"/>
  <c r="AH40" i="23"/>
  <c r="AG44" i="17"/>
  <c r="AH44" i="23"/>
  <c r="AG50" i="17"/>
  <c r="AH50" i="23"/>
  <c r="AG18" i="17"/>
  <c r="AH18" i="23"/>
  <c r="AG34" i="17"/>
  <c r="AH34" i="23"/>
  <c r="AG48" i="17"/>
  <c r="AH48" i="23"/>
  <c r="AG10" i="17"/>
  <c r="AH10" i="23"/>
  <c r="AG16" i="17"/>
  <c r="AH16" i="23"/>
  <c r="AG26" i="17"/>
  <c r="AH26" i="23"/>
  <c r="AG38" i="17"/>
  <c r="AH38" i="23"/>
  <c r="AG47" i="17"/>
  <c r="AH47" i="23"/>
  <c r="AC33" i="17"/>
  <c r="AD33" i="23"/>
  <c r="AG9" i="17"/>
  <c r="AH9" i="23"/>
  <c r="AG15" i="17"/>
  <c r="AH15" i="23"/>
  <c r="AG21" i="17"/>
  <c r="AH21" i="23"/>
  <c r="AG25" i="17"/>
  <c r="AH25" i="23"/>
  <c r="AG37" i="17"/>
  <c r="AH37" i="23"/>
  <c r="AG41" i="17"/>
  <c r="AH41" i="23"/>
  <c r="AG45" i="17"/>
  <c r="AH45" i="23"/>
  <c r="AG51" i="17"/>
  <c r="AH51" i="23"/>
  <c r="X8" i="17"/>
  <c r="Y8" i="23"/>
  <c r="X9" i="17"/>
  <c r="Y9" i="23"/>
  <c r="X10" i="17"/>
  <c r="Y10" i="23"/>
  <c r="X12" i="17"/>
  <c r="Y12" i="23"/>
  <c r="X13" i="17"/>
  <c r="Y13" i="23"/>
  <c r="X15" i="17"/>
  <c r="Y15" i="23"/>
  <c r="X16" i="17"/>
  <c r="Y16" i="23"/>
  <c r="X18" i="17"/>
  <c r="Y18" i="23"/>
  <c r="X19" i="17"/>
  <c r="Y19" i="23"/>
  <c r="X21" i="17"/>
  <c r="Y21" i="23"/>
  <c r="X22" i="17"/>
  <c r="Y22" i="23"/>
  <c r="X23" i="17"/>
  <c r="Y23" i="23"/>
  <c r="X24" i="17"/>
  <c r="Y24" i="23"/>
  <c r="X25" i="17"/>
  <c r="Y25" i="23"/>
  <c r="X26" i="17"/>
  <c r="Y26" i="23"/>
  <c r="X28" i="17"/>
  <c r="Y28" i="23"/>
  <c r="X29" i="17"/>
  <c r="Y29" i="23"/>
  <c r="X31" i="17"/>
  <c r="Y31" i="23"/>
  <c r="X32" i="17"/>
  <c r="Y32" i="23"/>
  <c r="X34" i="17"/>
  <c r="Y34" i="23"/>
  <c r="X35" i="17"/>
  <c r="Y35" i="23"/>
  <c r="X37" i="17"/>
  <c r="Y37" i="23"/>
  <c r="X38" i="17"/>
  <c r="Y38" i="23"/>
  <c r="X39" i="17"/>
  <c r="Y39" i="23"/>
  <c r="X40" i="17"/>
  <c r="Y40" i="23"/>
  <c r="X41" i="17"/>
  <c r="Y41" i="23"/>
  <c r="X42" i="17"/>
  <c r="Y42" i="23"/>
  <c r="X43" i="17"/>
  <c r="Y43" i="23"/>
  <c r="X44" i="17"/>
  <c r="Y44" i="23"/>
  <c r="X45" i="17"/>
  <c r="Y45" i="23"/>
  <c r="X47" i="17"/>
  <c r="Y47" i="23"/>
  <c r="X48" i="17"/>
  <c r="Y48" i="23"/>
  <c r="X50" i="17"/>
  <c r="Y50" i="23"/>
  <c r="X51" i="17"/>
  <c r="Y51" i="23"/>
  <c r="Y8" i="17"/>
  <c r="Z8" i="23"/>
  <c r="Y9" i="17"/>
  <c r="Z9" i="23"/>
  <c r="Y10" i="17"/>
  <c r="Z10" i="23"/>
  <c r="Y12" i="17"/>
  <c r="Z12" i="23"/>
  <c r="Y13" i="17"/>
  <c r="Z13" i="23"/>
  <c r="Y15" i="17"/>
  <c r="Z15" i="23"/>
  <c r="Y16" i="17"/>
  <c r="Z16" i="23"/>
  <c r="Y18" i="17"/>
  <c r="Z18" i="23"/>
  <c r="Y19" i="17"/>
  <c r="Z19" i="23"/>
  <c r="Y21" i="17"/>
  <c r="Z21" i="23"/>
  <c r="Y22" i="17"/>
  <c r="Z22" i="23"/>
  <c r="Y23" i="17"/>
  <c r="Z23" i="23"/>
  <c r="Y24" i="17"/>
  <c r="Z24" i="23"/>
  <c r="Y25" i="17"/>
  <c r="Z25" i="23"/>
  <c r="Y26" i="17"/>
  <c r="Z26" i="23"/>
  <c r="Y28" i="17"/>
  <c r="Z28" i="23"/>
  <c r="Y29" i="17"/>
  <c r="Z29" i="23"/>
  <c r="Y32" i="17"/>
  <c r="Z32" i="23"/>
  <c r="Y34" i="17"/>
  <c r="Z34" i="23"/>
  <c r="Y35" i="17"/>
  <c r="Z35" i="23"/>
  <c r="Y37" i="17"/>
  <c r="Z37" i="23"/>
  <c r="Y38" i="17"/>
  <c r="Z38" i="23"/>
  <c r="Y39" i="17"/>
  <c r="Z39" i="23"/>
  <c r="Y40" i="17"/>
  <c r="Z40" i="23"/>
  <c r="Y41" i="17"/>
  <c r="Z41" i="23"/>
  <c r="Y42" i="17"/>
  <c r="Z42" i="23"/>
  <c r="Y43" i="17"/>
  <c r="Z43" i="23"/>
  <c r="Y44" i="17"/>
  <c r="Z44" i="23"/>
  <c r="Y45" i="17"/>
  <c r="Z45" i="23"/>
  <c r="Y47" i="17"/>
  <c r="Z47" i="23"/>
  <c r="Y48" i="17"/>
  <c r="Z48" i="23"/>
  <c r="Y50" i="17"/>
  <c r="Z50" i="23"/>
  <c r="Y51" i="17"/>
  <c r="Z51" i="23"/>
  <c r="AG31" i="17"/>
  <c r="L33"/>
  <c r="Y31"/>
  <c r="D33"/>
  <c r="K51"/>
  <c r="K50"/>
  <c r="K48"/>
  <c r="K47"/>
  <c r="K45"/>
  <c r="K44"/>
  <c r="K43"/>
  <c r="K42"/>
  <c r="K41"/>
  <c r="K40"/>
  <c r="K39"/>
  <c r="K38"/>
  <c r="K37"/>
  <c r="AF35"/>
  <c r="AF34"/>
  <c r="AF32"/>
  <c r="K29"/>
  <c r="K28"/>
  <c r="K26"/>
  <c r="K25"/>
  <c r="K24"/>
  <c r="K23"/>
  <c r="K22"/>
  <c r="K21"/>
  <c r="K19"/>
  <c r="K18"/>
  <c r="AF16"/>
  <c r="AF15"/>
  <c r="AF13"/>
  <c r="AF12"/>
  <c r="AF10"/>
  <c r="AF9"/>
  <c r="AF8"/>
  <c r="AF23" l="1"/>
  <c r="AG23" i="23"/>
  <c r="AF40" i="17"/>
  <c r="AG40" i="23"/>
  <c r="AF50" i="17"/>
  <c r="AG50" i="23"/>
  <c r="AF26" i="17"/>
  <c r="AG26" i="23"/>
  <c r="AF39" i="17"/>
  <c r="AG39" i="23"/>
  <c r="AF48" i="17"/>
  <c r="AG48" i="23"/>
  <c r="AF19" i="17"/>
  <c r="AG19" i="23"/>
  <c r="AF24" i="17"/>
  <c r="AG24" i="23"/>
  <c r="AF29" i="17"/>
  <c r="AG29" i="23"/>
  <c r="AF37" i="17"/>
  <c r="AG37" i="23"/>
  <c r="AF41" i="17"/>
  <c r="AG41" i="23"/>
  <c r="AF45" i="17"/>
  <c r="AG45" i="23"/>
  <c r="AF51" i="17"/>
  <c r="AG51" i="23"/>
  <c r="AF18" i="17"/>
  <c r="AG18" i="23"/>
  <c r="AF28" i="17"/>
  <c r="AG28" i="23"/>
  <c r="AF44" i="17"/>
  <c r="AG44" i="23"/>
  <c r="AG33" i="17"/>
  <c r="AH33" i="23"/>
  <c r="AF22" i="17"/>
  <c r="AG22" i="23"/>
  <c r="AF43" i="17"/>
  <c r="AG43" i="23"/>
  <c r="AF21" i="17"/>
  <c r="AG21" i="23"/>
  <c r="AF25" i="17"/>
  <c r="AG25" i="23"/>
  <c r="AF38" i="17"/>
  <c r="AG38" i="23"/>
  <c r="AF42" i="17"/>
  <c r="AG42" i="23"/>
  <c r="AF47" i="17"/>
  <c r="AG47" i="23"/>
  <c r="Y33" i="17"/>
  <c r="Z33" i="23"/>
  <c r="AF31" i="17"/>
  <c r="AF33"/>
  <c r="J51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3"/>
  <c r="J22"/>
  <c r="J21"/>
  <c r="J19"/>
  <c r="J18"/>
  <c r="J16"/>
  <c r="J15"/>
  <c r="J13"/>
  <c r="J12"/>
  <c r="J10"/>
  <c r="J9"/>
  <c r="J8"/>
  <c r="AF31" i="23" l="1"/>
  <c r="AE9" i="17"/>
  <c r="AF9" i="23"/>
  <c r="AE15" i="17"/>
  <c r="AF15" i="23"/>
  <c r="AE21" i="17"/>
  <c r="AF21" i="23"/>
  <c r="AE25" i="17"/>
  <c r="AF25" i="23"/>
  <c r="AE37" i="17"/>
  <c r="AF37" i="23"/>
  <c r="AE41" i="17"/>
  <c r="AF41" i="23"/>
  <c r="AE45" i="17"/>
  <c r="AF45" i="23"/>
  <c r="AE51" i="17"/>
  <c r="AF51" i="23"/>
  <c r="AE8" i="17"/>
  <c r="AF8" i="23"/>
  <c r="AE13" i="17"/>
  <c r="AF13" i="23"/>
  <c r="AE19" i="17"/>
  <c r="AF19" i="23"/>
  <c r="AE24" i="17"/>
  <c r="AF24" i="23"/>
  <c r="AE29" i="17"/>
  <c r="AF29" i="23"/>
  <c r="AE35" i="17"/>
  <c r="AF35" i="23"/>
  <c r="AE40" i="17"/>
  <c r="AF40" i="23"/>
  <c r="AE44" i="17"/>
  <c r="AF44" i="23"/>
  <c r="AE50" i="17"/>
  <c r="AF50" i="23"/>
  <c r="AE12" i="17"/>
  <c r="AF12" i="23"/>
  <c r="AE10" i="17"/>
  <c r="AF10" i="23"/>
  <c r="AE16" i="17"/>
  <c r="AF16" i="23"/>
  <c r="AE22" i="17"/>
  <c r="AF22" i="23"/>
  <c r="AE26" i="17"/>
  <c r="AF26" i="23"/>
  <c r="AE32" i="17"/>
  <c r="AF32" i="23"/>
  <c r="AE38" i="17"/>
  <c r="AF38" i="23"/>
  <c r="AE42" i="17"/>
  <c r="AF42" i="23"/>
  <c r="AE47" i="17"/>
  <c r="AF47" i="23"/>
  <c r="AE18" i="17"/>
  <c r="AF18" i="23"/>
  <c r="AE23" i="17"/>
  <c r="AF23" i="23"/>
  <c r="AE28" i="17"/>
  <c r="AF28" i="23"/>
  <c r="AE34" i="17"/>
  <c r="AF34" i="23"/>
  <c r="AE39" i="17"/>
  <c r="AF39" i="23"/>
  <c r="AE43" i="17"/>
  <c r="AF43" i="23"/>
  <c r="AE48" i="17"/>
  <c r="AF48" i="23"/>
  <c r="AE31" i="17"/>
  <c r="J33"/>
  <c r="F5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F10"/>
  <c r="F9"/>
  <c r="AB31" i="23" l="1"/>
  <c r="AA19" i="17"/>
  <c r="AB19" i="23"/>
  <c r="AA29" i="17"/>
  <c r="AB29" i="23"/>
  <c r="AA40" i="17"/>
  <c r="AB40" i="23"/>
  <c r="AA50" i="17"/>
  <c r="AB50" i="23"/>
  <c r="AA12" i="17"/>
  <c r="AB12" i="23"/>
  <c r="AA23" i="17"/>
  <c r="AB23" i="23"/>
  <c r="AA34" i="17"/>
  <c r="AB34" i="23"/>
  <c r="AA43" i="17"/>
  <c r="AB43" i="23"/>
  <c r="AA16" i="17"/>
  <c r="AB16" i="23"/>
  <c r="AA9" i="17"/>
  <c r="AB9" i="23"/>
  <c r="AA15" i="17"/>
  <c r="AB15" i="23"/>
  <c r="AA21" i="17"/>
  <c r="AB21" i="23"/>
  <c r="AA25" i="17"/>
  <c r="AB25" i="23"/>
  <c r="AA37" i="17"/>
  <c r="AB37" i="23"/>
  <c r="AA41" i="17"/>
  <c r="AB41" i="23"/>
  <c r="AA45" i="17"/>
  <c r="AB45" i="23"/>
  <c r="AA51" i="17"/>
  <c r="AB51" i="23"/>
  <c r="AA13" i="17"/>
  <c r="AB13" i="23"/>
  <c r="AA24" i="17"/>
  <c r="AB24" i="23"/>
  <c r="AA35" i="17"/>
  <c r="AB35" i="23"/>
  <c r="AA44" i="17"/>
  <c r="AB44" i="23"/>
  <c r="AA18" i="17"/>
  <c r="AB18" i="23"/>
  <c r="AA28" i="17"/>
  <c r="AB28" i="23"/>
  <c r="AA39" i="17"/>
  <c r="AB39" i="23"/>
  <c r="AA48" i="17"/>
  <c r="AB48" i="23"/>
  <c r="AA10" i="17"/>
  <c r="AB10" i="23"/>
  <c r="AA22" i="17"/>
  <c r="AB22" i="23"/>
  <c r="AA26" i="17"/>
  <c r="AB26" i="23"/>
  <c r="AA32" i="17"/>
  <c r="AB32" i="23"/>
  <c r="AA38" i="17"/>
  <c r="AB38" i="23"/>
  <c r="AA42" i="17"/>
  <c r="AB42" i="23"/>
  <c r="AA47" i="17"/>
  <c r="AB47" i="23"/>
  <c r="AE33" i="17"/>
  <c r="AF33" i="23"/>
  <c r="AA31" i="17"/>
  <c r="F33"/>
  <c r="E51"/>
  <c r="E50"/>
  <c r="E48"/>
  <c r="E47"/>
  <c r="E45"/>
  <c r="E44"/>
  <c r="E43"/>
  <c r="E42"/>
  <c r="E41"/>
  <c r="E40"/>
  <c r="E39"/>
  <c r="E38"/>
  <c r="E37"/>
  <c r="E35"/>
  <c r="E34"/>
  <c r="E32"/>
  <c r="E31"/>
  <c r="E29"/>
  <c r="E28"/>
  <c r="E26"/>
  <c r="E25"/>
  <c r="E24"/>
  <c r="E23"/>
  <c r="E22"/>
  <c r="E21"/>
  <c r="E19"/>
  <c r="E18"/>
  <c r="E16"/>
  <c r="E15"/>
  <c r="E13"/>
  <c r="E12"/>
  <c r="E10"/>
  <c r="E9"/>
  <c r="E8"/>
  <c r="E7"/>
  <c r="AA31" i="23" l="1"/>
  <c r="Z13" i="17"/>
  <c r="AA13" i="23"/>
  <c r="Z24" i="17"/>
  <c r="AA24" i="23"/>
  <c r="Z35" i="17"/>
  <c r="AA35" i="23"/>
  <c r="Z44" i="17"/>
  <c r="AA44" i="23"/>
  <c r="Z7" i="17"/>
  <c r="AA7" i="23"/>
  <c r="Z12" i="17"/>
  <c r="AA12" i="23"/>
  <c r="Z23" i="17"/>
  <c r="AA23" i="23"/>
  <c r="Z34" i="17"/>
  <c r="AA34" i="23"/>
  <c r="Z43" i="17"/>
  <c r="AA43" i="23"/>
  <c r="Z9" i="17"/>
  <c r="AA9" i="23"/>
  <c r="Z15" i="17"/>
  <c r="AA15" i="23"/>
  <c r="Z21" i="17"/>
  <c r="AA21" i="23"/>
  <c r="Z25" i="17"/>
  <c r="AA25" i="23"/>
  <c r="Z37" i="17"/>
  <c r="AA37" i="23"/>
  <c r="Z41" i="17"/>
  <c r="AA41" i="23"/>
  <c r="Z45" i="17"/>
  <c r="AA45" i="23"/>
  <c r="Z51" i="17"/>
  <c r="AA51" i="23"/>
  <c r="Z8" i="17"/>
  <c r="AA8" i="23"/>
  <c r="Z19" i="17"/>
  <c r="AA19" i="23"/>
  <c r="Z29" i="17"/>
  <c r="AA29" i="23"/>
  <c r="Z40" i="17"/>
  <c r="AA40" i="23"/>
  <c r="Z50" i="17"/>
  <c r="AA50" i="23"/>
  <c r="Z18" i="17"/>
  <c r="AA18" i="23"/>
  <c r="Z28" i="17"/>
  <c r="AA28" i="23"/>
  <c r="Z39" i="17"/>
  <c r="AA39" i="23"/>
  <c r="Z48" i="17"/>
  <c r="AA48" i="23"/>
  <c r="Z10" i="17"/>
  <c r="AA10" i="23"/>
  <c r="Z16" i="17"/>
  <c r="AA16" i="23"/>
  <c r="Z22" i="17"/>
  <c r="AA22" i="23"/>
  <c r="Z26" i="17"/>
  <c r="AA26" i="23"/>
  <c r="Z32" i="17"/>
  <c r="AA32" i="23"/>
  <c r="Z38" i="17"/>
  <c r="AA38" i="23"/>
  <c r="Z42" i="17"/>
  <c r="AA42" i="23"/>
  <c r="Z47" i="17"/>
  <c r="AA47" i="23"/>
  <c r="AA33" i="17"/>
  <c r="AB33" i="23"/>
  <c r="Z31" i="17"/>
  <c r="E33"/>
  <c r="Q131" i="2"/>
  <c r="N131"/>
  <c r="M131"/>
  <c r="G131"/>
  <c r="E52" i="17"/>
  <c r="E36"/>
  <c r="E46"/>
  <c r="E30"/>
  <c r="E27"/>
  <c r="E20"/>
  <c r="E17"/>
  <c r="E11"/>
  <c r="N46" i="22"/>
  <c r="N41"/>
  <c r="O41"/>
  <c r="O39"/>
  <c r="N39"/>
  <c r="N28"/>
  <c r="N20"/>
  <c r="P16"/>
  <c r="T15"/>
  <c r="O14"/>
  <c r="T14"/>
  <c r="O11"/>
  <c r="Q9"/>
  <c r="Q12" s="1"/>
  <c r="P7"/>
  <c r="P6"/>
  <c r="N6"/>
  <c r="O6" s="1"/>
  <c r="Z11" i="17" l="1"/>
  <c r="AA11" i="23"/>
  <c r="Z30" i="17"/>
  <c r="AA30" i="23"/>
  <c r="Z20" i="17"/>
  <c r="AA20" i="23"/>
  <c r="Z36" i="17"/>
  <c r="AA36" i="23"/>
  <c r="Z27" i="17"/>
  <c r="AA27" i="23"/>
  <c r="Z52" i="17"/>
  <c r="AA52" i="23"/>
  <c r="Z17" i="17"/>
  <c r="AA17" i="23"/>
  <c r="Z46" i="17"/>
  <c r="AA46" i="23"/>
  <c r="Z33" i="17"/>
  <c r="AA33" i="23"/>
  <c r="N10" i="22"/>
  <c r="N24"/>
  <c r="O24"/>
  <c r="N12"/>
  <c r="O25"/>
  <c r="N25"/>
  <c r="N14"/>
  <c r="O18"/>
  <c r="N30"/>
  <c r="N18"/>
  <c r="AH12" i="15"/>
  <c r="W193" i="2"/>
  <c r="W191"/>
  <c r="W202"/>
  <c r="W197"/>
  <c r="W194"/>
  <c r="N36" i="22" l="1"/>
  <c r="N34"/>
  <c r="N27"/>
  <c r="O27"/>
  <c r="N8"/>
  <c r="N33"/>
  <c r="P28"/>
  <c r="N31" l="1"/>
  <c r="G11" i="17" l="1"/>
  <c r="AB11" l="1"/>
  <c r="AC11" i="23"/>
  <c r="K27" i="17"/>
  <c r="AF27" l="1"/>
  <c r="AG27" i="23"/>
  <c r="H17" i="17"/>
  <c r="AC17" l="1"/>
  <c r="AD17" i="23"/>
  <c r="T15" i="17"/>
  <c r="K77" i="2"/>
  <c r="K226" s="1"/>
  <c r="C178"/>
  <c r="A77"/>
  <c r="A104"/>
  <c r="J104"/>
  <c r="C104"/>
  <c r="J77"/>
  <c r="C77"/>
  <c r="T14" i="17" l="1"/>
  <c r="E14"/>
  <c r="P212" i="2"/>
  <c r="W100"/>
  <c r="W85"/>
  <c r="W81"/>
  <c r="Z14" i="17" l="1"/>
  <c r="AA14" i="23"/>
  <c r="W103" i="2"/>
  <c r="V197" l="1"/>
  <c r="V194"/>
  <c r="V191"/>
  <c r="Y114"/>
  <c r="Y102"/>
  <c r="Y101"/>
  <c r="Y99"/>
  <c r="Y98"/>
  <c r="Y93"/>
  <c r="Y91"/>
  <c r="Y90"/>
  <c r="Y83"/>
  <c r="Y80"/>
  <c r="Y74"/>
  <c r="Y73"/>
  <c r="Y69"/>
  <c r="Y66"/>
  <c r="Y63"/>
  <c r="Y58"/>
  <c r="Y48"/>
  <c r="Y46"/>
  <c r="Y32"/>
  <c r="Y26"/>
  <c r="Y20"/>
  <c r="Y15"/>
  <c r="P215" l="1"/>
  <c r="J114"/>
  <c r="J159" s="1"/>
  <c r="N114" l="1"/>
  <c r="H52" i="17" l="1"/>
  <c r="H49"/>
  <c r="H46"/>
  <c r="H36"/>
  <c r="H30"/>
  <c r="H27"/>
  <c r="H20"/>
  <c r="H14"/>
  <c r="H11"/>
  <c r="AC49" l="1"/>
  <c r="AD49" i="23"/>
  <c r="AC11" i="17"/>
  <c r="AD11" i="23"/>
  <c r="AC30" i="17"/>
  <c r="AD30" i="23"/>
  <c r="AC52" i="17"/>
  <c r="AD52" i="23"/>
  <c r="AC27" i="17"/>
  <c r="AD27" i="23"/>
  <c r="AC20" i="17"/>
  <c r="AD20" i="23"/>
  <c r="AC46" i="17"/>
  <c r="AD46" i="23"/>
  <c r="AC14" i="17"/>
  <c r="AD14" i="23"/>
  <c r="AC36" i="17"/>
  <c r="AD36" i="23"/>
  <c r="L52" i="17"/>
  <c r="L49"/>
  <c r="L46"/>
  <c r="L36"/>
  <c r="L30"/>
  <c r="L27"/>
  <c r="L20"/>
  <c r="L17"/>
  <c r="L14"/>
  <c r="L11"/>
  <c r="AG20" l="1"/>
  <c r="AH20" i="23"/>
  <c r="AG17" i="17"/>
  <c r="AH17" i="23"/>
  <c r="AG36" i="17"/>
  <c r="AH36" i="23"/>
  <c r="AG14" i="17"/>
  <c r="AH14" i="23"/>
  <c r="AG30" i="17"/>
  <c r="AH30" i="23"/>
  <c r="AG52" i="17"/>
  <c r="AH52" i="23"/>
  <c r="AG46" i="17"/>
  <c r="AH46" i="23"/>
  <c r="AG11" i="17"/>
  <c r="AH11" i="23"/>
  <c r="AG27" i="17"/>
  <c r="AH27" i="23"/>
  <c r="AG49" i="17"/>
  <c r="AH49" i="23"/>
  <c r="K52" i="17"/>
  <c r="K49"/>
  <c r="K46"/>
  <c r="AF36"/>
  <c r="K30"/>
  <c r="K20"/>
  <c r="K17"/>
  <c r="AF14"/>
  <c r="K11"/>
  <c r="AF49" l="1"/>
  <c r="AG49" i="23"/>
  <c r="AF17" i="17"/>
  <c r="AG17" i="23"/>
  <c r="AF11" i="17"/>
  <c r="AG11" i="23"/>
  <c r="AF30" i="17"/>
  <c r="AG30" i="23"/>
  <c r="AF52" i="17"/>
  <c r="AG52" i="23"/>
  <c r="AF20" i="17"/>
  <c r="AG20" i="23"/>
  <c r="AF46" i="17"/>
  <c r="AG46" i="23"/>
  <c r="J52" i="17"/>
  <c r="J49"/>
  <c r="J46"/>
  <c r="J36"/>
  <c r="J30"/>
  <c r="J27"/>
  <c r="J20"/>
  <c r="J17"/>
  <c r="J14"/>
  <c r="J11"/>
  <c r="AE46" l="1"/>
  <c r="AF46" i="23"/>
  <c r="AE17" i="17"/>
  <c r="AF17" i="23"/>
  <c r="AE36" i="17"/>
  <c r="AF36" i="23"/>
  <c r="AE14" i="17"/>
  <c r="AF14" i="23"/>
  <c r="AE30" i="17"/>
  <c r="AF30" i="23"/>
  <c r="AE52" i="17"/>
  <c r="AF52" i="23"/>
  <c r="AE20" i="17"/>
  <c r="AF20" i="23"/>
  <c r="AE11" i="17"/>
  <c r="AF11" i="23"/>
  <c r="AE27" i="17"/>
  <c r="AF27" i="23"/>
  <c r="AE49" i="17"/>
  <c r="AF49" i="23"/>
  <c r="G52" i="17"/>
  <c r="G49"/>
  <c r="G46"/>
  <c r="G36"/>
  <c r="G30"/>
  <c r="G27"/>
  <c r="G20"/>
  <c r="G17"/>
  <c r="G14"/>
  <c r="AB49" l="1"/>
  <c r="AC49" i="23"/>
  <c r="AB20" i="17"/>
  <c r="AC20" i="23"/>
  <c r="AB14" i="17"/>
  <c r="AC14" i="23"/>
  <c r="AB30" i="17"/>
  <c r="AC30" i="23"/>
  <c r="AB52" i="17"/>
  <c r="AC52" i="23"/>
  <c r="AB27" i="17"/>
  <c r="AC27" i="23"/>
  <c r="AB46" i="17"/>
  <c r="AC46" i="23"/>
  <c r="AB17" i="17"/>
  <c r="AC17" i="23"/>
  <c r="AB36" i="17"/>
  <c r="AC36" i="23"/>
  <c r="F52" i="17"/>
  <c r="F49"/>
  <c r="F46"/>
  <c r="F36"/>
  <c r="F30"/>
  <c r="F27"/>
  <c r="F20"/>
  <c r="F17"/>
  <c r="F14"/>
  <c r="F11"/>
  <c r="AA17" l="1"/>
  <c r="AB17" i="23"/>
  <c r="AA36" i="17"/>
  <c r="AB36" i="23"/>
  <c r="AA14" i="17"/>
  <c r="AB14" i="23"/>
  <c r="AA30" i="17"/>
  <c r="AB30" i="23"/>
  <c r="AA52" i="17"/>
  <c r="AB52" i="23"/>
  <c r="AA20" i="17"/>
  <c r="AB20" i="23"/>
  <c r="AA46" i="17"/>
  <c r="AB46" i="23"/>
  <c r="AA11" i="17"/>
  <c r="AB11" i="23"/>
  <c r="AA27" i="17"/>
  <c r="AB27" i="23"/>
  <c r="AA49" i="17"/>
  <c r="AB49" i="23"/>
  <c r="J218" i="2"/>
  <c r="P104" l="1"/>
  <c r="Y172"/>
  <c r="Y166"/>
  <c r="Y162"/>
  <c r="Y153"/>
  <c r="Y122"/>
  <c r="M110"/>
  <c r="N102"/>
  <c r="G80"/>
  <c r="M80"/>
  <c r="N80"/>
  <c r="Q80"/>
  <c r="F80" l="1"/>
  <c r="L40"/>
  <c r="Y10"/>
  <c r="Y6"/>
  <c r="G114"/>
  <c r="G102"/>
  <c r="G101"/>
  <c r="Q26"/>
  <c r="Q31"/>
  <c r="M202"/>
  <c r="M197"/>
  <c r="M194"/>
  <c r="M191"/>
  <c r="M26"/>
  <c r="M20"/>
  <c r="M15"/>
  <c r="I216"/>
  <c r="I217" l="1"/>
  <c r="E104" l="1"/>
  <c r="I219"/>
  <c r="V202"/>
  <c r="I204" l="1"/>
  <c r="I231" s="1"/>
  <c r="V193"/>
  <c r="H218"/>
  <c r="I213" l="1"/>
  <c r="I52" i="17" l="1"/>
  <c r="D52"/>
  <c r="O39"/>
  <c r="I36"/>
  <c r="P16"/>
  <c r="O11"/>
  <c r="Q9"/>
  <c r="Q12" s="1"/>
  <c r="I11"/>
  <c r="P7"/>
  <c r="M7"/>
  <c r="P6"/>
  <c r="M38" i="2"/>
  <c r="M35"/>
  <c r="M34"/>
  <c r="M33"/>
  <c r="M31"/>
  <c r="M28"/>
  <c r="M27"/>
  <c r="M24"/>
  <c r="M22"/>
  <c r="M21"/>
  <c r="M19"/>
  <c r="M18"/>
  <c r="M17"/>
  <c r="AD11" i="17" l="1"/>
  <c r="AE11" i="23"/>
  <c r="AD36" i="17"/>
  <c r="AE36" i="23"/>
  <c r="AD52" i="17"/>
  <c r="AE52" i="23"/>
  <c r="AH7" i="17"/>
  <c r="AI7" i="23"/>
  <c r="Y52" i="17"/>
  <c r="Z52" i="23"/>
  <c r="C14" i="17"/>
  <c r="I212" i="2"/>
  <c r="M12"/>
  <c r="K212"/>
  <c r="D30" i="17"/>
  <c r="M38"/>
  <c r="M37"/>
  <c r="M22"/>
  <c r="C27"/>
  <c r="M32"/>
  <c r="C17"/>
  <c r="C36"/>
  <c r="C46"/>
  <c r="D20"/>
  <c r="C33"/>
  <c r="M43"/>
  <c r="I49"/>
  <c r="D49"/>
  <c r="C52"/>
  <c r="I14"/>
  <c r="AG7" i="13"/>
  <c r="W5" i="14" s="1"/>
  <c r="D11" i="17"/>
  <c r="I20"/>
  <c r="M51"/>
  <c r="M9"/>
  <c r="M25"/>
  <c r="M48"/>
  <c r="M35"/>
  <c r="M34"/>
  <c r="M29"/>
  <c r="M21"/>
  <c r="M19"/>
  <c r="M10"/>
  <c r="M8"/>
  <c r="C30"/>
  <c r="M28"/>
  <c r="D17"/>
  <c r="M15"/>
  <c r="M40"/>
  <c r="D14"/>
  <c r="M31"/>
  <c r="M44"/>
  <c r="D46"/>
  <c r="M16"/>
  <c r="M26"/>
  <c r="M45"/>
  <c r="C11"/>
  <c r="M12"/>
  <c r="I17"/>
  <c r="M24"/>
  <c r="D27"/>
  <c r="M13"/>
  <c r="M23"/>
  <c r="M39"/>
  <c r="I46"/>
  <c r="C49"/>
  <c r="M42"/>
  <c r="C20"/>
  <c r="I27"/>
  <c r="I30"/>
  <c r="D36"/>
  <c r="M18"/>
  <c r="M41"/>
  <c r="M47"/>
  <c r="M50"/>
  <c r="M32" i="2"/>
  <c r="G122"/>
  <c r="AI42" i="23" l="1"/>
  <c r="AI26"/>
  <c r="AI18"/>
  <c r="AI47"/>
  <c r="AI12"/>
  <c r="AI16"/>
  <c r="AI22"/>
  <c r="AI50"/>
  <c r="AI31"/>
  <c r="AI15"/>
  <c r="AI25"/>
  <c r="AI32"/>
  <c r="AI38"/>
  <c r="AD27" i="17"/>
  <c r="AE27" i="23"/>
  <c r="AD20" i="17"/>
  <c r="AE20" i="23"/>
  <c r="AD14" i="17"/>
  <c r="AE14" i="23"/>
  <c r="AD17" i="17"/>
  <c r="AE17" i="23"/>
  <c r="AD49" i="17"/>
  <c r="AE49" i="23"/>
  <c r="AD46" i="17"/>
  <c r="AE46" i="23"/>
  <c r="AD30" i="17"/>
  <c r="AE30" i="23"/>
  <c r="AH41" i="17"/>
  <c r="AI41" i="23"/>
  <c r="Y36" i="17"/>
  <c r="Z36" i="23"/>
  <c r="AH23" i="17"/>
  <c r="AI23" i="23"/>
  <c r="Y27" i="17"/>
  <c r="Z27" i="23"/>
  <c r="X11" i="17"/>
  <c r="Y11" i="23"/>
  <c r="Y46" i="17"/>
  <c r="Z46" i="23"/>
  <c r="AH40" i="17"/>
  <c r="AI40" i="23"/>
  <c r="Y17" i="17"/>
  <c r="Z17" i="23"/>
  <c r="X30" i="17"/>
  <c r="Y30" i="23"/>
  <c r="AH10" i="17"/>
  <c r="AI10" i="23"/>
  <c r="AH21" i="17"/>
  <c r="AI21" i="23"/>
  <c r="AH34" i="17"/>
  <c r="AI34" i="23"/>
  <c r="AH48" i="17"/>
  <c r="AI48" i="23"/>
  <c r="AH9" i="17"/>
  <c r="AI9" i="23"/>
  <c r="X52" i="17"/>
  <c r="Y52" i="23"/>
  <c r="X33" i="17"/>
  <c r="Y33" i="23"/>
  <c r="X46" i="17"/>
  <c r="Y46" i="23"/>
  <c r="X17" i="17"/>
  <c r="Y17" i="23"/>
  <c r="X27" i="17"/>
  <c r="Y27" i="23"/>
  <c r="AH37" i="17"/>
  <c r="AI37" i="23"/>
  <c r="Y30" i="17"/>
  <c r="Z30" i="23"/>
  <c r="X14" i="17"/>
  <c r="Y14" i="23"/>
  <c r="X20" i="17"/>
  <c r="Y20" i="23"/>
  <c r="X49" i="17"/>
  <c r="Y49" i="23"/>
  <c r="AH39" i="17"/>
  <c r="AI39" i="23"/>
  <c r="AH13" i="17"/>
  <c r="AI13" i="23"/>
  <c r="AH24" i="17"/>
  <c r="AI24" i="23"/>
  <c r="AH45" i="17"/>
  <c r="AI45" i="23"/>
  <c r="AH44" i="17"/>
  <c r="AI44" i="23"/>
  <c r="Y14" i="17"/>
  <c r="Z14" i="23"/>
  <c r="AH28" i="17"/>
  <c r="AI28" i="23"/>
  <c r="AH8" i="17"/>
  <c r="AI8" i="23"/>
  <c r="AH19" i="17"/>
  <c r="AI19" i="23"/>
  <c r="AH29" i="17"/>
  <c r="AI29" i="23"/>
  <c r="AH35" i="17"/>
  <c r="AI35" i="23"/>
  <c r="AH51" i="17"/>
  <c r="AI51" i="23"/>
  <c r="Y11" i="17"/>
  <c r="Z11" i="23"/>
  <c r="Y49" i="17"/>
  <c r="Z49" i="23"/>
  <c r="AH43" i="17"/>
  <c r="AI43" i="23"/>
  <c r="Y20" i="17"/>
  <c r="Z20" i="23"/>
  <c r="X36" i="17"/>
  <c r="Y36" i="23"/>
  <c r="AH21" i="15"/>
  <c r="AH25" i="17"/>
  <c r="AG34" i="13"/>
  <c r="E189" i="14" s="1"/>
  <c r="AH38" i="17"/>
  <c r="AG41" i="13"/>
  <c r="AH47" i="17"/>
  <c r="AG12" i="13"/>
  <c r="AH12" i="17"/>
  <c r="AH16"/>
  <c r="AG22" i="13"/>
  <c r="AH22" i="17"/>
  <c r="AG18" i="13"/>
  <c r="E118" i="14" s="1"/>
  <c r="AH18" i="17"/>
  <c r="AH15"/>
  <c r="AG32" i="13"/>
  <c r="E174" i="14" s="1"/>
  <c r="AH32" i="17"/>
  <c r="AG44" i="13"/>
  <c r="AH50" i="17"/>
  <c r="AH42"/>
  <c r="AH26"/>
  <c r="AH31"/>
  <c r="M33"/>
  <c r="AG38" i="13"/>
  <c r="AG24"/>
  <c r="E164" i="14" s="1"/>
  <c r="AH19" i="15"/>
  <c r="M10" i="2"/>
  <c r="K40"/>
  <c r="AG39" i="13"/>
  <c r="AG42"/>
  <c r="AG37"/>
  <c r="AG23"/>
  <c r="AG22" i="15"/>
  <c r="AG26" i="13"/>
  <c r="E140" i="14" s="1"/>
  <c r="AG28" i="13"/>
  <c r="M122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s="1"/>
  <c r="AG45" i="13"/>
  <c r="AG27" i="15"/>
  <c r="AG36" i="13"/>
  <c r="E190" i="14" s="1"/>
  <c r="AG13" i="15"/>
  <c r="AG15" i="13"/>
  <c r="E103" i="14" s="1"/>
  <c r="AG19" i="13"/>
  <c r="E119" i="14" s="1"/>
  <c r="AG13" i="13"/>
  <c r="AG35"/>
  <c r="E196" i="14" s="1"/>
  <c r="O25" i="17"/>
  <c r="AG8" i="13"/>
  <c r="E75" i="14" s="1"/>
  <c r="E83" s="1"/>
  <c r="AG29" i="13"/>
  <c r="AG9"/>
  <c r="E76" i="14" s="1"/>
  <c r="E84" s="1"/>
  <c r="Q122" i="2"/>
  <c r="F122"/>
  <c r="M36" i="17"/>
  <c r="N34"/>
  <c r="M11"/>
  <c r="M49"/>
  <c r="N39"/>
  <c r="N24"/>
  <c r="O24"/>
  <c r="M46"/>
  <c r="O14"/>
  <c r="M17"/>
  <c r="N28"/>
  <c r="M30"/>
  <c r="M52"/>
  <c r="M20"/>
  <c r="N18"/>
  <c r="M14"/>
  <c r="O41"/>
  <c r="N41"/>
  <c r="M27"/>
  <c r="N122" i="2"/>
  <c r="AF27" i="1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G19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2"/>
  <c r="AF2"/>
  <c r="AE2"/>
  <c r="AD2"/>
  <c r="AC2"/>
  <c r="AC25" s="1"/>
  <c r="AB2"/>
  <c r="AA2"/>
  <c r="Z2"/>
  <c r="Y2"/>
  <c r="X2"/>
  <c r="W2"/>
  <c r="V2"/>
  <c r="U2"/>
  <c r="U25" s="1"/>
  <c r="T2"/>
  <c r="S2"/>
  <c r="R2"/>
  <c r="Q2"/>
  <c r="Q25" s="1"/>
  <c r="P2"/>
  <c r="O2"/>
  <c r="N2"/>
  <c r="M2"/>
  <c r="M25" s="1"/>
  <c r="L2"/>
  <c r="K2"/>
  <c r="J2"/>
  <c r="I2"/>
  <c r="H2"/>
  <c r="G2"/>
  <c r="F2"/>
  <c r="E2"/>
  <c r="E25" s="1"/>
  <c r="D2"/>
  <c r="C2"/>
  <c r="C20" s="1"/>
  <c r="D196" i="14"/>
  <c r="C196"/>
  <c r="D190"/>
  <c r="C190"/>
  <c r="D189"/>
  <c r="C189"/>
  <c r="D141"/>
  <c r="C141"/>
  <c r="D140"/>
  <c r="C140"/>
  <c r="D139"/>
  <c r="C139"/>
  <c r="D120"/>
  <c r="C120"/>
  <c r="D119"/>
  <c r="C119"/>
  <c r="D118"/>
  <c r="C118"/>
  <c r="D105"/>
  <c r="C105"/>
  <c r="D104"/>
  <c r="C104"/>
  <c r="D103"/>
  <c r="C103"/>
  <c r="D86"/>
  <c r="C86"/>
  <c r="D85"/>
  <c r="C85"/>
  <c r="D84"/>
  <c r="C84"/>
  <c r="D83"/>
  <c r="C83"/>
  <c r="D57"/>
  <c r="C57"/>
  <c r="D31"/>
  <c r="C31"/>
  <c r="W8"/>
  <c r="V5"/>
  <c r="V8" s="1"/>
  <c r="U5"/>
  <c r="U8" s="1"/>
  <c r="D5"/>
  <c r="C5"/>
  <c r="E2"/>
  <c r="AI27" i="23" l="1"/>
  <c r="AI30"/>
  <c r="AI46"/>
  <c r="AI36"/>
  <c r="AH14" i="17"/>
  <c r="AI14" i="23"/>
  <c r="AH20" i="17"/>
  <c r="AI20" i="23"/>
  <c r="AH17" i="17"/>
  <c r="AI17" i="23"/>
  <c r="AH49" i="17"/>
  <c r="AI49" i="23"/>
  <c r="AH52" i="17"/>
  <c r="AI52" i="23"/>
  <c r="AH11" i="17"/>
  <c r="AI11" i="23"/>
  <c r="AH33" i="17"/>
  <c r="AI33" i="23"/>
  <c r="AH14" i="15"/>
  <c r="AI14" s="1"/>
  <c r="AH10"/>
  <c r="AG33" i="13"/>
  <c r="E175" i="14" s="1"/>
  <c r="N36" i="17"/>
  <c r="AH36"/>
  <c r="AG27" i="13"/>
  <c r="E141" i="14" s="1"/>
  <c r="AH27" i="17"/>
  <c r="AG30" i="13"/>
  <c r="AH30" i="17"/>
  <c r="N46"/>
  <c r="AH46"/>
  <c r="R15" i="15"/>
  <c r="AG20" i="13"/>
  <c r="E120" i="14" s="1"/>
  <c r="N20" i="17"/>
  <c r="AI21" i="15"/>
  <c r="E23"/>
  <c r="I23"/>
  <c r="M23"/>
  <c r="Q23"/>
  <c r="U23"/>
  <c r="Y23"/>
  <c r="AC23"/>
  <c r="J16"/>
  <c r="N16"/>
  <c r="V16"/>
  <c r="F15"/>
  <c r="AG16"/>
  <c r="AH20"/>
  <c r="AI19"/>
  <c r="AH24"/>
  <c r="AH22"/>
  <c r="AH13"/>
  <c r="AI13" s="1"/>
  <c r="AH27"/>
  <c r="K225" i="2"/>
  <c r="J15" i="15"/>
  <c r="N15"/>
  <c r="V15"/>
  <c r="Z15"/>
  <c r="AD15"/>
  <c r="AG40" i="13"/>
  <c r="AG11"/>
  <c r="N10" i="17"/>
  <c r="N31"/>
  <c r="I24" i="15"/>
  <c r="Y24"/>
  <c r="N12" i="17"/>
  <c r="AG14" i="13"/>
  <c r="AG46"/>
  <c r="AG43"/>
  <c r="AG17"/>
  <c r="E105" i="14" s="1"/>
  <c r="P28" i="17"/>
  <c r="N8"/>
  <c r="N33"/>
  <c r="N30"/>
  <c r="O27"/>
  <c r="N27"/>
  <c r="N14"/>
  <c r="O18"/>
  <c r="AG25" i="15"/>
  <c r="AG17"/>
  <c r="AG28"/>
  <c r="AG20"/>
  <c r="E78" i="14"/>
  <c r="E86" s="1"/>
  <c r="D17" i="15"/>
  <c r="H17"/>
  <c r="L17"/>
  <c r="P17"/>
  <c r="T17"/>
  <c r="X17"/>
  <c r="AB17"/>
  <c r="AF17"/>
  <c r="D20"/>
  <c r="H20"/>
  <c r="L20"/>
  <c r="P20"/>
  <c r="T20"/>
  <c r="X20"/>
  <c r="AB20"/>
  <c r="AF20"/>
  <c r="E24"/>
  <c r="E26" s="1"/>
  <c r="U24"/>
  <c r="U26" s="1"/>
  <c r="I25"/>
  <c r="Y25"/>
  <c r="I28"/>
  <c r="M28"/>
  <c r="Q28"/>
  <c r="U28"/>
  <c r="Y28"/>
  <c r="AC28"/>
  <c r="G17"/>
  <c r="K17"/>
  <c r="O17"/>
  <c r="S17"/>
  <c r="W17"/>
  <c r="AA17"/>
  <c r="AE17"/>
  <c r="G20"/>
  <c r="K20"/>
  <c r="O20"/>
  <c r="S20"/>
  <c r="W20"/>
  <c r="AA20"/>
  <c r="AE20"/>
  <c r="Q24"/>
  <c r="Q26" s="1"/>
  <c r="D28"/>
  <c r="H28"/>
  <c r="L28"/>
  <c r="P28"/>
  <c r="T28"/>
  <c r="X28"/>
  <c r="AB28"/>
  <c r="AF28"/>
  <c r="G16"/>
  <c r="K16"/>
  <c r="O16"/>
  <c r="S16"/>
  <c r="W16"/>
  <c r="AA16"/>
  <c r="AE16"/>
  <c r="H25"/>
  <c r="L25"/>
  <c r="P25"/>
  <c r="T25"/>
  <c r="X25"/>
  <c r="AB25"/>
  <c r="AF25"/>
  <c r="M24"/>
  <c r="M26" s="1"/>
  <c r="AC24"/>
  <c r="AC26" s="1"/>
  <c r="G28"/>
  <c r="K28"/>
  <c r="O28"/>
  <c r="S28"/>
  <c r="W28"/>
  <c r="AA28"/>
  <c r="AE28"/>
  <c r="I17"/>
  <c r="M17"/>
  <c r="Q17"/>
  <c r="U17"/>
  <c r="Y17"/>
  <c r="AC17"/>
  <c r="E20"/>
  <c r="I20"/>
  <c r="M20"/>
  <c r="Q20"/>
  <c r="U20"/>
  <c r="Y20"/>
  <c r="AC20"/>
  <c r="H24"/>
  <c r="L24"/>
  <c r="P24"/>
  <c r="T24"/>
  <c r="X24"/>
  <c r="AB24"/>
  <c r="AF24"/>
  <c r="J28"/>
  <c r="R28"/>
  <c r="Z28"/>
  <c r="AG15"/>
  <c r="AG24"/>
  <c r="AG23"/>
  <c r="E17"/>
  <c r="F20"/>
  <c r="F28"/>
  <c r="F17"/>
  <c r="J17"/>
  <c r="J20"/>
  <c r="N20"/>
  <c r="N28"/>
  <c r="N17"/>
  <c r="R17"/>
  <c r="R16"/>
  <c r="R20"/>
  <c r="V20"/>
  <c r="V28"/>
  <c r="V17"/>
  <c r="Z17"/>
  <c r="Z16"/>
  <c r="Z20"/>
  <c r="AD20"/>
  <c r="AD28"/>
  <c r="AD17"/>
  <c r="AD16"/>
  <c r="AG6"/>
  <c r="E16"/>
  <c r="E15"/>
  <c r="I16"/>
  <c r="I15"/>
  <c r="M16"/>
  <c r="M15"/>
  <c r="Q16"/>
  <c r="Q15"/>
  <c r="U16"/>
  <c r="U15"/>
  <c r="Y16"/>
  <c r="Y15"/>
  <c r="AC16"/>
  <c r="AC15"/>
  <c r="F16"/>
  <c r="G24"/>
  <c r="G23"/>
  <c r="K24"/>
  <c r="K23"/>
  <c r="O24"/>
  <c r="O23"/>
  <c r="S24"/>
  <c r="S23"/>
  <c r="W24"/>
  <c r="W23"/>
  <c r="AA24"/>
  <c r="AA23"/>
  <c r="AE24"/>
  <c r="AE23"/>
  <c r="F25"/>
  <c r="J25"/>
  <c r="N25"/>
  <c r="R25"/>
  <c r="V25"/>
  <c r="Z25"/>
  <c r="AD25"/>
  <c r="E28"/>
  <c r="D16"/>
  <c r="D15"/>
  <c r="H16"/>
  <c r="H15"/>
  <c r="L16"/>
  <c r="L18" s="1"/>
  <c r="L15"/>
  <c r="P16"/>
  <c r="P15"/>
  <c r="T16"/>
  <c r="T15"/>
  <c r="X16"/>
  <c r="X15"/>
  <c r="AB16"/>
  <c r="AB15"/>
  <c r="AF16"/>
  <c r="AF15"/>
  <c r="G25"/>
  <c r="K25"/>
  <c r="O25"/>
  <c r="S25"/>
  <c r="W25"/>
  <c r="AA25"/>
  <c r="AE25"/>
  <c r="D23"/>
  <c r="L23"/>
  <c r="T23"/>
  <c r="AB23"/>
  <c r="D24"/>
  <c r="D25"/>
  <c r="C25"/>
  <c r="C24"/>
  <c r="C28"/>
  <c r="C17"/>
  <c r="C16"/>
  <c r="F24"/>
  <c r="J24"/>
  <c r="N24"/>
  <c r="R24"/>
  <c r="V24"/>
  <c r="Z24"/>
  <c r="AD24"/>
  <c r="H23"/>
  <c r="P23"/>
  <c r="X23"/>
  <c r="AF23"/>
  <c r="AG10"/>
  <c r="G15"/>
  <c r="K15"/>
  <c r="O15"/>
  <c r="S15"/>
  <c r="W15"/>
  <c r="AA15"/>
  <c r="AE15"/>
  <c r="F23"/>
  <c r="J23"/>
  <c r="N23"/>
  <c r="R23"/>
  <c r="V23"/>
  <c r="Z23"/>
  <c r="AD23"/>
  <c r="N18" l="1"/>
  <c r="AH17"/>
  <c r="AI17" s="1"/>
  <c r="I26"/>
  <c r="U18"/>
  <c r="AB18"/>
  <c r="J18"/>
  <c r="AI20"/>
  <c r="AA18"/>
  <c r="AF18"/>
  <c r="P18"/>
  <c r="V18"/>
  <c r="AH28"/>
  <c r="AI28" s="1"/>
  <c r="AI27"/>
  <c r="AI24"/>
  <c r="AH25"/>
  <c r="AI25" s="1"/>
  <c r="AI22"/>
  <c r="AI23" s="1"/>
  <c r="AH15"/>
  <c r="AH16"/>
  <c r="AI16" s="1"/>
  <c r="AH23"/>
  <c r="X18"/>
  <c r="H18"/>
  <c r="V26"/>
  <c r="AF26"/>
  <c r="P26"/>
  <c r="F26"/>
  <c r="T18"/>
  <c r="AG18"/>
  <c r="Z26"/>
  <c r="J26"/>
  <c r="AB26"/>
  <c r="L26"/>
  <c r="K18"/>
  <c r="D18"/>
  <c r="AC18"/>
  <c r="M18"/>
  <c r="AE18"/>
  <c r="O18"/>
  <c r="W18"/>
  <c r="G18"/>
  <c r="Y26"/>
  <c r="R26"/>
  <c r="Q18"/>
  <c r="AD26"/>
  <c r="N26"/>
  <c r="T26"/>
  <c r="S18"/>
  <c r="AD18"/>
  <c r="AG26"/>
  <c r="X26"/>
  <c r="Y18"/>
  <c r="I18"/>
  <c r="AI15"/>
  <c r="AA26"/>
  <c r="S26"/>
  <c r="K26"/>
  <c r="H26"/>
  <c r="AE26"/>
  <c r="O26"/>
  <c r="W26"/>
  <c r="G26"/>
  <c r="D26"/>
  <c r="R18"/>
  <c r="C18"/>
  <c r="C26"/>
  <c r="Z18"/>
  <c r="F18"/>
  <c r="E18"/>
  <c r="AH18" l="1"/>
  <c r="AH26"/>
  <c r="AI18"/>
  <c r="AI26"/>
  <c r="N58" i="2" l="1"/>
  <c r="M58"/>
  <c r="G58"/>
  <c r="D215" l="1"/>
  <c r="C215"/>
  <c r="E215" l="1"/>
  <c r="I7"/>
  <c r="I224" s="1"/>
  <c r="H5" i="24" l="1"/>
  <c r="AD5" s="1"/>
  <c r="H5" i="17"/>
  <c r="I210" i="2"/>
  <c r="AC5" i="17" l="1"/>
  <c r="AD5" i="23"/>
  <c r="P178" i="2"/>
  <c r="I104" l="1"/>
  <c r="I227" s="1"/>
  <c r="I211" l="1"/>
  <c r="I188"/>
  <c r="I230" s="1"/>
  <c r="I40" l="1"/>
  <c r="I225" l="1"/>
  <c r="N135"/>
  <c r="M135"/>
  <c r="L210" l="1"/>
  <c r="C6" i="17" l="1"/>
  <c r="V100" i="2"/>
  <c r="X6" i="17" l="1"/>
  <c r="Y6" i="23"/>
  <c r="H219" i="2"/>
  <c r="H217"/>
  <c r="H216"/>
  <c r="H213"/>
  <c r="H212"/>
  <c r="H211"/>
  <c r="H188"/>
  <c r="H230" s="1"/>
  <c r="H204"/>
  <c r="H231" s="1"/>
  <c r="F31" l="1"/>
  <c r="Q174" l="1"/>
  <c r="Q167"/>
  <c r="Q163"/>
  <c r="Q137"/>
  <c r="Q130"/>
  <c r="Q126"/>
  <c r="Q123"/>
  <c r="Q121"/>
  <c r="Q117"/>
  <c r="O215"/>
  <c r="Q96"/>
  <c r="O216"/>
  <c r="Q88"/>
  <c r="Q87"/>
  <c r="O217"/>
  <c r="Q56"/>
  <c r="O212"/>
  <c r="Q19"/>
  <c r="Q27"/>
  <c r="Q35"/>
  <c r="Q24"/>
  <c r="M175"/>
  <c r="M168"/>
  <c r="M167"/>
  <c r="K178"/>
  <c r="K229" s="1"/>
  <c r="M156"/>
  <c r="M151"/>
  <c r="M147"/>
  <c r="M144"/>
  <c r="M143"/>
  <c r="M136"/>
  <c r="M134"/>
  <c r="M129"/>
  <c r="M126"/>
  <c r="M125"/>
  <c r="M121"/>
  <c r="K215"/>
  <c r="M115"/>
  <c r="M111"/>
  <c r="K159"/>
  <c r="M99"/>
  <c r="M91"/>
  <c r="M88"/>
  <c r="M87"/>
  <c r="K217"/>
  <c r="M74"/>
  <c r="M46"/>
  <c r="K218"/>
  <c r="M69"/>
  <c r="K213"/>
  <c r="M48"/>
  <c r="F156"/>
  <c r="F155"/>
  <c r="F139"/>
  <c r="F134"/>
  <c r="F130"/>
  <c r="F129"/>
  <c r="F126"/>
  <c r="F125"/>
  <c r="F120"/>
  <c r="F103"/>
  <c r="F97"/>
  <c r="F94"/>
  <c r="F92"/>
  <c r="F89"/>
  <c r="F88"/>
  <c r="F84"/>
  <c r="F81"/>
  <c r="F82"/>
  <c r="F100"/>
  <c r="D216"/>
  <c r="F87"/>
  <c r="D213"/>
  <c r="F96"/>
  <c r="E7"/>
  <c r="E224" s="1"/>
  <c r="F28"/>
  <c r="F24"/>
  <c r="F12"/>
  <c r="C228"/>
  <c r="J228"/>
  <c r="Q171"/>
  <c r="N173"/>
  <c r="N171"/>
  <c r="N165"/>
  <c r="N163"/>
  <c r="L204"/>
  <c r="L231" s="1"/>
  <c r="Q103"/>
  <c r="N103"/>
  <c r="M103"/>
  <c r="G100"/>
  <c r="Q107"/>
  <c r="P213"/>
  <c r="G107"/>
  <c r="Q34"/>
  <c r="Q28"/>
  <c r="Q21"/>
  <c r="N35"/>
  <c r="N34"/>
  <c r="N27"/>
  <c r="N19"/>
  <c r="G35"/>
  <c r="F34"/>
  <c r="F19"/>
  <c r="E40"/>
  <c r="Q97"/>
  <c r="Q92"/>
  <c r="Q89"/>
  <c r="M97"/>
  <c r="N96"/>
  <c r="N92"/>
  <c r="M89"/>
  <c r="N87"/>
  <c r="G96"/>
  <c r="G88"/>
  <c r="G10"/>
  <c r="G6"/>
  <c r="M6"/>
  <c r="M63"/>
  <c r="M66"/>
  <c r="D204"/>
  <c r="D231" s="1"/>
  <c r="G187"/>
  <c r="F186"/>
  <c r="G185"/>
  <c r="E188"/>
  <c r="G184"/>
  <c r="G183"/>
  <c r="Q187"/>
  <c r="Q186"/>
  <c r="Q185"/>
  <c r="Q184"/>
  <c r="Q183"/>
  <c r="P188"/>
  <c r="P230" s="1"/>
  <c r="Q181"/>
  <c r="N185"/>
  <c r="N184"/>
  <c r="M183"/>
  <c r="M181"/>
  <c r="P210"/>
  <c r="L214"/>
  <c r="G6" i="24" s="1"/>
  <c r="AC6" s="1"/>
  <c r="E216" i="2"/>
  <c r="I5" i="24" s="1"/>
  <c r="AE5" s="1"/>
  <c r="E212" i="2"/>
  <c r="E5" i="24" s="1"/>
  <c r="AA5" s="1"/>
  <c r="G13" i="2"/>
  <c r="G14"/>
  <c r="G23"/>
  <c r="G25"/>
  <c r="G26"/>
  <c r="N26"/>
  <c r="L215"/>
  <c r="H6" i="24" s="1"/>
  <c r="AD6" s="1"/>
  <c r="P214" i="2"/>
  <c r="P7"/>
  <c r="P224" s="1"/>
  <c r="L7"/>
  <c r="L224" s="1"/>
  <c r="E204"/>
  <c r="E231" s="1"/>
  <c r="C22" i="10" s="1"/>
  <c r="Q176" i="2"/>
  <c r="Q173"/>
  <c r="Q169"/>
  <c r="Q165"/>
  <c r="Q156"/>
  <c r="Q155"/>
  <c r="Q154"/>
  <c r="Q152"/>
  <c r="Q150"/>
  <c r="Q148"/>
  <c r="Q144"/>
  <c r="Q143"/>
  <c r="Q142"/>
  <c r="Q141"/>
  <c r="Q139"/>
  <c r="Q134"/>
  <c r="Q133"/>
  <c r="Q129"/>
  <c r="Q125"/>
  <c r="Q120"/>
  <c r="Q118"/>
  <c r="Q113"/>
  <c r="Q94"/>
  <c r="Q85"/>
  <c r="Q81"/>
  <c r="Q72"/>
  <c r="Q50"/>
  <c r="Q38"/>
  <c r="Q33"/>
  <c r="Q22"/>
  <c r="Q17"/>
  <c r="M193"/>
  <c r="N177"/>
  <c r="M177"/>
  <c r="N176"/>
  <c r="M176"/>
  <c r="N175"/>
  <c r="N174"/>
  <c r="M174"/>
  <c r="M173"/>
  <c r="N172"/>
  <c r="M172"/>
  <c r="N170"/>
  <c r="M170"/>
  <c r="N169"/>
  <c r="M169"/>
  <c r="N168"/>
  <c r="N167"/>
  <c r="N166"/>
  <c r="M166"/>
  <c r="M165"/>
  <c r="N164"/>
  <c r="M164"/>
  <c r="N162"/>
  <c r="M162"/>
  <c r="N158"/>
  <c r="M158"/>
  <c r="N157"/>
  <c r="M157"/>
  <c r="N156"/>
  <c r="N155"/>
  <c r="N154"/>
  <c r="N153"/>
  <c r="M153"/>
  <c r="N152"/>
  <c r="N151"/>
  <c r="N150"/>
  <c r="N149"/>
  <c r="M149"/>
  <c r="N148"/>
  <c r="M148"/>
  <c r="N147"/>
  <c r="N146"/>
  <c r="M146"/>
  <c r="N145"/>
  <c r="M145"/>
  <c r="N144"/>
  <c r="N143"/>
  <c r="N142"/>
  <c r="N141"/>
  <c r="M141"/>
  <c r="N140"/>
  <c r="N139"/>
  <c r="N138"/>
  <c r="M138"/>
  <c r="N137"/>
  <c r="N136"/>
  <c r="N134"/>
  <c r="N133"/>
  <c r="N132"/>
  <c r="M132"/>
  <c r="N130"/>
  <c r="N129"/>
  <c r="N128"/>
  <c r="M128"/>
  <c r="N127"/>
  <c r="M127"/>
  <c r="N126"/>
  <c r="N125"/>
  <c r="N124"/>
  <c r="M124"/>
  <c r="N123"/>
  <c r="N121"/>
  <c r="N120"/>
  <c r="N118"/>
  <c r="N117"/>
  <c r="N116"/>
  <c r="M116"/>
  <c r="N115"/>
  <c r="M113"/>
  <c r="N112"/>
  <c r="M112"/>
  <c r="N111"/>
  <c r="N110"/>
  <c r="N109"/>
  <c r="M109"/>
  <c r="N108"/>
  <c r="M108"/>
  <c r="N107"/>
  <c r="N101"/>
  <c r="M101"/>
  <c r="N100"/>
  <c r="N99"/>
  <c r="N98"/>
  <c r="M98"/>
  <c r="N97"/>
  <c r="N94"/>
  <c r="M94"/>
  <c r="N93"/>
  <c r="M93"/>
  <c r="M92"/>
  <c r="N91"/>
  <c r="N90"/>
  <c r="M90"/>
  <c r="N88"/>
  <c r="N83"/>
  <c r="M83"/>
  <c r="N82"/>
  <c r="M82"/>
  <c r="N81"/>
  <c r="N74"/>
  <c r="N73"/>
  <c r="M73"/>
  <c r="N69"/>
  <c r="N66"/>
  <c r="N63"/>
  <c r="N48"/>
  <c r="N46"/>
  <c r="N38"/>
  <c r="N33"/>
  <c r="N32"/>
  <c r="N24"/>
  <c r="N21"/>
  <c r="N20"/>
  <c r="N18"/>
  <c r="N17"/>
  <c r="N15"/>
  <c r="N10"/>
  <c r="N6"/>
  <c r="G203"/>
  <c r="G201"/>
  <c r="G199"/>
  <c r="G195"/>
  <c r="G192"/>
  <c r="G191"/>
  <c r="G182"/>
  <c r="G172"/>
  <c r="G156"/>
  <c r="G155"/>
  <c r="G154"/>
  <c r="G152"/>
  <c r="G150"/>
  <c r="G148"/>
  <c r="G144"/>
  <c r="G143"/>
  <c r="G142"/>
  <c r="G141"/>
  <c r="G139"/>
  <c r="G137"/>
  <c r="G134"/>
  <c r="G133"/>
  <c r="G130"/>
  <c r="G129"/>
  <c r="G126"/>
  <c r="G125"/>
  <c r="G123"/>
  <c r="G121"/>
  <c r="G120"/>
  <c r="G118"/>
  <c r="G117"/>
  <c r="G116"/>
  <c r="G113"/>
  <c r="G103"/>
  <c r="G99"/>
  <c r="G98"/>
  <c r="G97"/>
  <c r="G95"/>
  <c r="G94"/>
  <c r="G93"/>
  <c r="G92"/>
  <c r="G91"/>
  <c r="G90"/>
  <c r="G89"/>
  <c r="G85"/>
  <c r="G84"/>
  <c r="G83"/>
  <c r="G82"/>
  <c r="G81"/>
  <c r="G76"/>
  <c r="G75"/>
  <c r="G74"/>
  <c r="G73"/>
  <c r="G69"/>
  <c r="G66"/>
  <c r="G63"/>
  <c r="G62"/>
  <c r="G56"/>
  <c r="G48"/>
  <c r="G46"/>
  <c r="G44"/>
  <c r="G39"/>
  <c r="G38"/>
  <c r="G37"/>
  <c r="G36"/>
  <c r="G34"/>
  <c r="G33"/>
  <c r="G32"/>
  <c r="G31"/>
  <c r="G30"/>
  <c r="G29"/>
  <c r="G28"/>
  <c r="G24"/>
  <c r="G22"/>
  <c r="G21"/>
  <c r="G20"/>
  <c r="G19"/>
  <c r="G18"/>
  <c r="G17"/>
  <c r="G16"/>
  <c r="G15"/>
  <c r="G12"/>
  <c r="G11"/>
  <c r="F193"/>
  <c r="F154"/>
  <c r="F152"/>
  <c r="F150"/>
  <c r="F144"/>
  <c r="F143"/>
  <c r="F142"/>
  <c r="F137"/>
  <c r="F133"/>
  <c r="F117"/>
  <c r="F85"/>
  <c r="F56"/>
  <c r="F38"/>
  <c r="F35"/>
  <c r="F33"/>
  <c r="F22"/>
  <c r="F21"/>
  <c r="F18"/>
  <c r="F17"/>
  <c r="A178"/>
  <c r="A229" s="1"/>
  <c r="C8" i="10" s="1"/>
  <c r="A228" i="2"/>
  <c r="J178"/>
  <c r="C229"/>
  <c r="B20" i="10" s="1"/>
  <c r="M155" i="2"/>
  <c r="M154"/>
  <c r="M152"/>
  <c r="M150"/>
  <c r="M142"/>
  <c r="M139"/>
  <c r="M137"/>
  <c r="M133"/>
  <c r="M130"/>
  <c r="M123"/>
  <c r="F123"/>
  <c r="F121"/>
  <c r="M120"/>
  <c r="M118"/>
  <c r="F118"/>
  <c r="M117"/>
  <c r="M81"/>
  <c r="A188"/>
  <c r="A230" s="1"/>
  <c r="C9" i="10" s="1"/>
  <c r="A227" i="2"/>
  <c r="C6" i="10" s="1"/>
  <c r="A226" i="2"/>
  <c r="C5" i="10" s="1"/>
  <c r="C227" i="2"/>
  <c r="B18" i="10" s="1"/>
  <c r="J226" i="2"/>
  <c r="C29" i="10" s="1"/>
  <c r="C226" i="2"/>
  <c r="B17" i="10" s="1"/>
  <c r="C218" i="2"/>
  <c r="A215"/>
  <c r="H4" i="24" s="1"/>
  <c r="AD4" s="1"/>
  <c r="C3" i="10"/>
  <c r="B3"/>
  <c r="K7" i="2"/>
  <c r="K224" s="1"/>
  <c r="O219"/>
  <c r="O213"/>
  <c r="O211"/>
  <c r="K219"/>
  <c r="K210"/>
  <c r="O204"/>
  <c r="K204"/>
  <c r="K231" s="1"/>
  <c r="O188"/>
  <c r="O230" s="1"/>
  <c r="K188"/>
  <c r="K230" s="1"/>
  <c r="J40"/>
  <c r="J7"/>
  <c r="C7"/>
  <c r="R231"/>
  <c r="B10" i="10" s="1"/>
  <c r="R230" i="2"/>
  <c r="B9" i="10" s="1"/>
  <c r="R229" i="2"/>
  <c r="B8" i="10" s="1"/>
  <c r="R228" i="2"/>
  <c r="R227"/>
  <c r="B6" i="10" s="1"/>
  <c r="R226" i="2"/>
  <c r="B5" i="10" s="1"/>
  <c r="R225" i="2"/>
  <c r="B4" i="10" s="1"/>
  <c r="A204" i="2"/>
  <c r="A231" s="1"/>
  <c r="C10" i="10" s="1"/>
  <c r="J204" i="2"/>
  <c r="J231" s="1"/>
  <c r="C34" i="10" s="1"/>
  <c r="C204" i="2"/>
  <c r="C231" s="1"/>
  <c r="B22" i="10" s="1"/>
  <c r="A40" i="2"/>
  <c r="C40"/>
  <c r="C225" s="1"/>
  <c r="B16" i="10" s="1"/>
  <c r="C214" i="2"/>
  <c r="C211"/>
  <c r="J214"/>
  <c r="J211"/>
  <c r="A219"/>
  <c r="L4" i="24" s="1"/>
  <c r="AH4" s="1"/>
  <c r="A218" i="2"/>
  <c r="K4" i="24" s="1"/>
  <c r="AG4" s="1"/>
  <c r="A217" i="2"/>
  <c r="J4" i="24" s="1"/>
  <c r="AF4" s="1"/>
  <c r="A216" i="2"/>
  <c r="I4" i="24" s="1"/>
  <c r="AE4" s="1"/>
  <c r="A214" i="2"/>
  <c r="G4" i="24" s="1"/>
  <c r="AC4" s="1"/>
  <c r="A213" i="2"/>
  <c r="F4" i="24" s="1"/>
  <c r="AB4" s="1"/>
  <c r="A212" i="2"/>
  <c r="E4" i="24" s="1"/>
  <c r="AA4" s="1"/>
  <c r="A211" i="2"/>
  <c r="D4" i="24" s="1"/>
  <c r="A210" i="2"/>
  <c r="J216"/>
  <c r="J215"/>
  <c r="C213"/>
  <c r="J219"/>
  <c r="C219"/>
  <c r="J212"/>
  <c r="C212"/>
  <c r="J217"/>
  <c r="C210"/>
  <c r="J210"/>
  <c r="J213"/>
  <c r="C216"/>
  <c r="C217"/>
  <c r="J188"/>
  <c r="J230" s="1"/>
  <c r="C33" i="10" s="1"/>
  <c r="C188" i="2"/>
  <c r="J227"/>
  <c r="C30" i="10" s="1"/>
  <c r="A7" i="2"/>
  <c r="R224" s="1"/>
  <c r="N183"/>
  <c r="M184"/>
  <c r="Q18"/>
  <c r="F107"/>
  <c r="N56"/>
  <c r="E217"/>
  <c r="J5" i="24" s="1"/>
  <c r="AF5" s="1"/>
  <c r="G87" i="2"/>
  <c r="L212"/>
  <c r="E6" i="24" s="1"/>
  <c r="AA6" s="1"/>
  <c r="G72" i="2"/>
  <c r="E213"/>
  <c r="F5" i="24" s="1"/>
  <c r="AB5" s="1"/>
  <c r="F72" i="2"/>
  <c r="M100"/>
  <c r="L225"/>
  <c r="E219"/>
  <c r="L5" i="24" s="1"/>
  <c r="AH5" s="1"/>
  <c r="E227" i="2"/>
  <c r="Q82"/>
  <c r="F27"/>
  <c r="G27"/>
  <c r="N22"/>
  <c r="M171"/>
  <c r="L178"/>
  <c r="L229" s="1"/>
  <c r="D32" i="10" s="1"/>
  <c r="M185" i="2"/>
  <c r="N181"/>
  <c r="M186"/>
  <c r="N186"/>
  <c r="N187"/>
  <c r="M187"/>
  <c r="L188"/>
  <c r="F187"/>
  <c r="F181"/>
  <c r="G181"/>
  <c r="F183"/>
  <c r="G186"/>
  <c r="F184"/>
  <c r="P211"/>
  <c r="F185"/>
  <c r="D188"/>
  <c r="D230" s="1"/>
  <c r="O210"/>
  <c r="Q116"/>
  <c r="Q84"/>
  <c r="O218"/>
  <c r="M163"/>
  <c r="M56"/>
  <c r="K214"/>
  <c r="P219"/>
  <c r="Q100"/>
  <c r="Q95"/>
  <c r="P216"/>
  <c r="P227"/>
  <c r="P217"/>
  <c r="M72"/>
  <c r="L213"/>
  <c r="F6" i="24" s="1"/>
  <c r="AB6" s="1"/>
  <c r="L219" i="2"/>
  <c r="L6" i="24" s="1"/>
  <c r="AH6" s="1"/>
  <c r="M85" i="2"/>
  <c r="N72"/>
  <c r="P204"/>
  <c r="N84"/>
  <c r="L217"/>
  <c r="J6" i="24" s="1"/>
  <c r="AF6" s="1"/>
  <c r="M84" i="2"/>
  <c r="N28"/>
  <c r="P40"/>
  <c r="Q12"/>
  <c r="M107"/>
  <c r="L159"/>
  <c r="P159"/>
  <c r="N85"/>
  <c r="N89"/>
  <c r="M96"/>
  <c r="N12"/>
  <c r="F95"/>
  <c r="D217"/>
  <c r="D219"/>
  <c r="D212"/>
  <c r="D211"/>
  <c r="F50"/>
  <c r="E211"/>
  <c r="D5" i="24" s="1"/>
  <c r="G50" i="2"/>
  <c r="F174"/>
  <c r="F176"/>
  <c r="F163"/>
  <c r="G165"/>
  <c r="F169"/>
  <c r="F173"/>
  <c r="G173"/>
  <c r="D210"/>
  <c r="G176"/>
  <c r="G174"/>
  <c r="G167"/>
  <c r="E210"/>
  <c r="G163"/>
  <c r="G169"/>
  <c r="F171"/>
  <c r="F167"/>
  <c r="F165"/>
  <c r="G171"/>
  <c r="K211"/>
  <c r="N50"/>
  <c r="M50"/>
  <c r="L211"/>
  <c r="D6" i="24" s="1"/>
  <c r="Z6" s="1"/>
  <c r="A220" i="2" l="1"/>
  <c r="Z5" i="24"/>
  <c r="Z4"/>
  <c r="M4"/>
  <c r="AI4" s="1"/>
  <c r="J6" i="17"/>
  <c r="E4"/>
  <c r="J4"/>
  <c r="J5"/>
  <c r="D6"/>
  <c r="E6"/>
  <c r="F4"/>
  <c r="K4"/>
  <c r="H6"/>
  <c r="I5"/>
  <c r="F5"/>
  <c r="F6"/>
  <c r="G4"/>
  <c r="L4"/>
  <c r="H4"/>
  <c r="J225" i="2"/>
  <c r="C28" i="10" s="1"/>
  <c r="J206" i="2"/>
  <c r="K228"/>
  <c r="L5" i="17"/>
  <c r="E5"/>
  <c r="L230" i="2"/>
  <c r="D33" i="10" s="1"/>
  <c r="B33" s="1"/>
  <c r="E225" i="2"/>
  <c r="C16" i="10" s="1"/>
  <c r="L6" i="17"/>
  <c r="G6"/>
  <c r="W219" i="2"/>
  <c r="C5" i="17"/>
  <c r="D5"/>
  <c r="C4"/>
  <c r="D4"/>
  <c r="I4"/>
  <c r="A206" i="2"/>
  <c r="A225"/>
  <c r="C4" i="10" s="1"/>
  <c r="A224" i="2"/>
  <c r="B7" i="10"/>
  <c r="B11" s="1"/>
  <c r="G188" i="2"/>
  <c r="Q213"/>
  <c r="Q211"/>
  <c r="M215"/>
  <c r="C230"/>
  <c r="B21" i="10" s="1"/>
  <c r="Q216" i="2"/>
  <c r="N231"/>
  <c r="M159"/>
  <c r="M210"/>
  <c r="N204"/>
  <c r="F204"/>
  <c r="N210"/>
  <c r="F231"/>
  <c r="G204"/>
  <c r="Q204"/>
  <c r="F216"/>
  <c r="N214"/>
  <c r="G231"/>
  <c r="N188"/>
  <c r="Q219"/>
  <c r="F217"/>
  <c r="G217"/>
  <c r="N215"/>
  <c r="Q217"/>
  <c r="P228"/>
  <c r="N40"/>
  <c r="M40"/>
  <c r="N217"/>
  <c r="M212"/>
  <c r="N211"/>
  <c r="M211"/>
  <c r="N213"/>
  <c r="N212"/>
  <c r="M225"/>
  <c r="D28" i="10"/>
  <c r="C18"/>
  <c r="Q230" i="2"/>
  <c r="M219"/>
  <c r="D34" i="10"/>
  <c r="B34" s="1"/>
  <c r="M188" i="2"/>
  <c r="Q210"/>
  <c r="F215"/>
  <c r="M229"/>
  <c r="G212"/>
  <c r="G40"/>
  <c r="P231"/>
  <c r="M214"/>
  <c r="N219"/>
  <c r="Q215"/>
  <c r="G213"/>
  <c r="G210"/>
  <c r="G225"/>
  <c r="F213"/>
  <c r="G211"/>
  <c r="F211"/>
  <c r="F210"/>
  <c r="G216"/>
  <c r="G215"/>
  <c r="M231"/>
  <c r="M204"/>
  <c r="P229"/>
  <c r="F212"/>
  <c r="C206"/>
  <c r="G227"/>
  <c r="Q212"/>
  <c r="M213"/>
  <c r="G104"/>
  <c r="R232"/>
  <c r="O231"/>
  <c r="N159"/>
  <c r="L228"/>
  <c r="F219"/>
  <c r="C224"/>
  <c r="G7"/>
  <c r="J229"/>
  <c r="N178"/>
  <c r="Q188"/>
  <c r="F188"/>
  <c r="M178"/>
  <c r="M217"/>
  <c r="G219"/>
  <c r="P225"/>
  <c r="E230"/>
  <c r="N7"/>
  <c r="J224"/>
  <c r="M7"/>
  <c r="X4" i="17" l="1"/>
  <c r="AG5"/>
  <c r="AB4"/>
  <c r="AC6"/>
  <c r="Y6"/>
  <c r="AE6"/>
  <c r="Y4"/>
  <c r="AG6"/>
  <c r="Z5"/>
  <c r="AG4"/>
  <c r="AD5"/>
  <c r="Z6"/>
  <c r="Z4"/>
  <c r="AD4"/>
  <c r="X5"/>
  <c r="AB6"/>
  <c r="AC4"/>
  <c r="AA5"/>
  <c r="AA4"/>
  <c r="AE4"/>
  <c r="Y5"/>
  <c r="AA6"/>
  <c r="AF4"/>
  <c r="AE5"/>
  <c r="AF5" i="23"/>
  <c r="AH4"/>
  <c r="AB6"/>
  <c r="AG4"/>
  <c r="AA6"/>
  <c r="AA4"/>
  <c r="AE5"/>
  <c r="Y4"/>
  <c r="AH5"/>
  <c r="AA5"/>
  <c r="AC4"/>
  <c r="AD6"/>
  <c r="Z6"/>
  <c r="AF6"/>
  <c r="AE4"/>
  <c r="Z5"/>
  <c r="Y5"/>
  <c r="AD4"/>
  <c r="AB5"/>
  <c r="AB4"/>
  <c r="AF4"/>
  <c r="AC6"/>
  <c r="Z4"/>
  <c r="AH6"/>
  <c r="B28" i="10"/>
  <c r="A232" i="2"/>
  <c r="N225"/>
  <c r="M230"/>
  <c r="N230"/>
  <c r="C7" i="10"/>
  <c r="C11" s="1"/>
  <c r="H210" i="2"/>
  <c r="N224"/>
  <c r="J232"/>
  <c r="J220" s="1"/>
  <c r="Q231"/>
  <c r="C32" i="10"/>
  <c r="B32" s="1"/>
  <c r="N229" i="2"/>
  <c r="D31" i="10"/>
  <c r="N228" i="2"/>
  <c r="M228"/>
  <c r="G224"/>
  <c r="C232"/>
  <c r="C220" s="1"/>
  <c r="B19" i="10"/>
  <c r="B23" s="1"/>
  <c r="C31"/>
  <c r="F230" i="2"/>
  <c r="C21" i="10"/>
  <c r="G230" i="2"/>
  <c r="M224"/>
  <c r="M4" i="17" l="1"/>
  <c r="B31" i="10"/>
  <c r="C35"/>
  <c r="AG4" i="13" l="1"/>
  <c r="F2" i="14" s="1"/>
  <c r="E5" s="1"/>
  <c r="AI4" i="23"/>
  <c r="AH4" i="17"/>
  <c r="Q177" i="2"/>
  <c r="Q175"/>
  <c r="Q172"/>
  <c r="Q170"/>
  <c r="Q168"/>
  <c r="Q166"/>
  <c r="Q164"/>
  <c r="Q158"/>
  <c r="Q157"/>
  <c r="Q153"/>
  <c r="Q151"/>
  <c r="Q149"/>
  <c r="Q147"/>
  <c r="Q146"/>
  <c r="Q145"/>
  <c r="Q138"/>
  <c r="Q136"/>
  <c r="Q135"/>
  <c r="Q132"/>
  <c r="Q128"/>
  <c r="Q127"/>
  <c r="Q124"/>
  <c r="Q115"/>
  <c r="Q112"/>
  <c r="Q111"/>
  <c r="Q110"/>
  <c r="Q109"/>
  <c r="Q101"/>
  <c r="Q99"/>
  <c r="Q98"/>
  <c r="Q93"/>
  <c r="Q91"/>
  <c r="Q90"/>
  <c r="Q83"/>
  <c r="Q74"/>
  <c r="Q73"/>
  <c r="Q69"/>
  <c r="Q66"/>
  <c r="Q63"/>
  <c r="Q58"/>
  <c r="Q48"/>
  <c r="Q32"/>
  <c r="Q20"/>
  <c r="Q15"/>
  <c r="Y177"/>
  <c r="Y175"/>
  <c r="Y170"/>
  <c r="Y168"/>
  <c r="Y164"/>
  <c r="Y158"/>
  <c r="Y157"/>
  <c r="Y151"/>
  <c r="Y149"/>
  <c r="Y147"/>
  <c r="Y146"/>
  <c r="Y145"/>
  <c r="Y140"/>
  <c r="Y138"/>
  <c r="Y136"/>
  <c r="Y135"/>
  <c r="Y132"/>
  <c r="Y128"/>
  <c r="Y127"/>
  <c r="Y124"/>
  <c r="Y115"/>
  <c r="Y112"/>
  <c r="Y111"/>
  <c r="Y110"/>
  <c r="Y109"/>
  <c r="Y108"/>
  <c r="F172"/>
  <c r="G153"/>
  <c r="F101"/>
  <c r="F99"/>
  <c r="F98"/>
  <c r="F93"/>
  <c r="F91"/>
  <c r="F90"/>
  <c r="F74"/>
  <c r="F73"/>
  <c r="F69"/>
  <c r="F66"/>
  <c r="F63"/>
  <c r="F58"/>
  <c r="F48"/>
  <c r="F32"/>
  <c r="F20"/>
  <c r="F15"/>
  <c r="D77" l="1"/>
  <c r="F83"/>
  <c r="D104"/>
  <c r="F108"/>
  <c r="F162"/>
  <c r="D178"/>
  <c r="I178"/>
  <c r="I229" s="1"/>
  <c r="G109"/>
  <c r="G111"/>
  <c r="G115"/>
  <c r="G127"/>
  <c r="G132"/>
  <c r="G136"/>
  <c r="G140"/>
  <c r="G146"/>
  <c r="G149"/>
  <c r="G158"/>
  <c r="G164"/>
  <c r="G168"/>
  <c r="G177"/>
  <c r="G108"/>
  <c r="G110"/>
  <c r="G112"/>
  <c r="G124"/>
  <c r="G128"/>
  <c r="G135"/>
  <c r="G138"/>
  <c r="G145"/>
  <c r="G147"/>
  <c r="G151"/>
  <c r="G157"/>
  <c r="G162"/>
  <c r="G166"/>
  <c r="G170"/>
  <c r="G175"/>
  <c r="H77"/>
  <c r="H226" s="1"/>
  <c r="Q46"/>
  <c r="O77"/>
  <c r="O40"/>
  <c r="Q10"/>
  <c r="Q108"/>
  <c r="Q162"/>
  <c r="O178"/>
  <c r="H40"/>
  <c r="H104"/>
  <c r="H227" s="1"/>
  <c r="H178"/>
  <c r="H229" s="1"/>
  <c r="F46"/>
  <c r="D40"/>
  <c r="F10"/>
  <c r="O214"/>
  <c r="O7"/>
  <c r="Q6"/>
  <c r="H214"/>
  <c r="H7"/>
  <c r="F6"/>
  <c r="D214"/>
  <c r="D7"/>
  <c r="O206" l="1"/>
  <c r="E178"/>
  <c r="F178" s="1"/>
  <c r="H225"/>
  <c r="D206"/>
  <c r="F112"/>
  <c r="Y214"/>
  <c r="F147"/>
  <c r="F157"/>
  <c r="F128"/>
  <c r="F138"/>
  <c r="F151"/>
  <c r="F145"/>
  <c r="F135"/>
  <c r="F124"/>
  <c r="F110"/>
  <c r="F175"/>
  <c r="F170"/>
  <c r="F166"/>
  <c r="E214"/>
  <c r="G5" i="24" s="1"/>
  <c r="F177" i="2"/>
  <c r="F168"/>
  <c r="F164"/>
  <c r="F158"/>
  <c r="F149"/>
  <c r="F146"/>
  <c r="F140"/>
  <c r="F136"/>
  <c r="F132"/>
  <c r="F127"/>
  <c r="F115"/>
  <c r="F111"/>
  <c r="F109"/>
  <c r="O229"/>
  <c r="Q229" s="1"/>
  <c r="Q178"/>
  <c r="O228"/>
  <c r="Q228" s="1"/>
  <c r="Q159"/>
  <c r="O226"/>
  <c r="O225"/>
  <c r="Q225" s="1"/>
  <c r="Q40"/>
  <c r="O227"/>
  <c r="Q227" s="1"/>
  <c r="Q104"/>
  <c r="D225"/>
  <c r="F225" s="1"/>
  <c r="F40"/>
  <c r="D227"/>
  <c r="F227" s="1"/>
  <c r="F104"/>
  <c r="D226"/>
  <c r="D229"/>
  <c r="D228"/>
  <c r="Q214"/>
  <c r="O220"/>
  <c r="O224"/>
  <c r="Q7"/>
  <c r="H224"/>
  <c r="D224"/>
  <c r="F7"/>
  <c r="AC5" i="24" l="1"/>
  <c r="G5" i="17"/>
  <c r="F159" i="2"/>
  <c r="G159"/>
  <c r="E228"/>
  <c r="E229"/>
  <c r="G178"/>
  <c r="G214"/>
  <c r="F214"/>
  <c r="Q224"/>
  <c r="O232"/>
  <c r="F224"/>
  <c r="D232"/>
  <c r="AB5" i="17" l="1"/>
  <c r="AC5" i="23"/>
  <c r="C19" i="10"/>
  <c r="G228" i="2"/>
  <c r="F228"/>
  <c r="C20" i="10"/>
  <c r="G229" i="2"/>
  <c r="F229"/>
  <c r="D220"/>
  <c r="H215" l="1"/>
  <c r="H220" s="1"/>
  <c r="H159"/>
  <c r="H206" s="1"/>
  <c r="H228" l="1"/>
  <c r="H232" s="1"/>
  <c r="I159" l="1"/>
  <c r="I215"/>
  <c r="I228" l="1"/>
  <c r="N95"/>
  <c r="L104"/>
  <c r="L227" s="1"/>
  <c r="K216"/>
  <c r="K220" s="1"/>
  <c r="M95"/>
  <c r="K104"/>
  <c r="K206" s="1"/>
  <c r="K227" l="1"/>
  <c r="K232" s="1"/>
  <c r="N227"/>
  <c r="D30" i="10"/>
  <c r="L216" i="2"/>
  <c r="I6" i="24" s="1"/>
  <c r="AE6" s="1"/>
  <c r="M104" i="2"/>
  <c r="N104"/>
  <c r="M227" l="1"/>
  <c r="N216"/>
  <c r="I6" i="17"/>
  <c r="M216" i="2"/>
  <c r="B30" i="10"/>
  <c r="AE6" i="23" l="1"/>
  <c r="N6"/>
  <c r="O6" s="1"/>
  <c r="AD6" i="17"/>
  <c r="S64" i="2"/>
  <c r="S65"/>
  <c r="G43"/>
  <c r="F43"/>
  <c r="T61"/>
  <c r="S47"/>
  <c r="T54"/>
  <c r="T68"/>
  <c r="M71"/>
  <c r="L71"/>
  <c r="N71" s="1"/>
  <c r="M70"/>
  <c r="N70"/>
  <c r="P49"/>
  <c r="Q49" s="1"/>
  <c r="M45"/>
  <c r="M57"/>
  <c r="S45"/>
  <c r="S53"/>
  <c r="N52"/>
  <c r="L52"/>
  <c r="M52" s="1"/>
  <c r="M67"/>
  <c r="L70"/>
  <c r="S55"/>
  <c r="Q51"/>
  <c r="W51"/>
  <c r="S70"/>
  <c r="T71"/>
  <c r="G60"/>
  <c r="E60"/>
  <c r="F60"/>
  <c r="L45"/>
  <c r="N45" s="1"/>
  <c r="P67"/>
  <c r="Q67" s="1"/>
  <c r="L67"/>
  <c r="N67" s="1"/>
  <c r="S57"/>
  <c r="T70"/>
  <c r="Q71"/>
  <c r="P71"/>
  <c r="W71" s="1"/>
  <c r="W43"/>
  <c r="Q43"/>
  <c r="L57"/>
  <c r="N57" s="1"/>
  <c r="T45"/>
  <c r="N49"/>
  <c r="L49"/>
  <c r="M49" s="1"/>
  <c r="T64"/>
  <c r="E51"/>
  <c r="G51" s="1"/>
  <c r="S51"/>
  <c r="V43"/>
  <c r="M47"/>
  <c r="L47"/>
  <c r="N47" s="1"/>
  <c r="P70"/>
  <c r="Q70" s="1"/>
  <c r="T60"/>
  <c r="S75"/>
  <c r="T53"/>
  <c r="L54"/>
  <c r="M60"/>
  <c r="N60"/>
  <c r="T57"/>
  <c r="W52"/>
  <c r="Q65"/>
  <c r="I70"/>
  <c r="V70" s="1"/>
  <c r="I67"/>
  <c r="V67" s="1"/>
  <c r="V52"/>
  <c r="Q59"/>
  <c r="P59"/>
  <c r="W59"/>
  <c r="E59"/>
  <c r="F59" s="1"/>
  <c r="P52"/>
  <c r="Q52" s="1"/>
  <c r="T65"/>
  <c r="S68"/>
  <c r="F64"/>
  <c r="E64"/>
  <c r="G64" s="1"/>
  <c r="P68"/>
  <c r="Q68" s="1"/>
  <c r="I52"/>
  <c r="E71"/>
  <c r="G71" s="1"/>
  <c r="F65"/>
  <c r="E65"/>
  <c r="G65"/>
  <c r="S61"/>
  <c r="G55"/>
  <c r="E55"/>
  <c r="F55" s="1"/>
  <c r="V65"/>
  <c r="N75"/>
  <c r="L75"/>
  <c r="M75" s="1"/>
  <c r="S60"/>
  <c r="I65"/>
  <c r="L60"/>
  <c r="E49"/>
  <c r="F49" s="1"/>
  <c r="W47"/>
  <c r="P47"/>
  <c r="Q47" s="1"/>
  <c r="S52"/>
  <c r="E53"/>
  <c r="G53" s="1"/>
  <c r="L53"/>
  <c r="N55"/>
  <c r="L55"/>
  <c r="M55" s="1"/>
  <c r="P65"/>
  <c r="W65" s="1"/>
  <c r="T47"/>
  <c r="E70"/>
  <c r="F70" s="1"/>
  <c r="T55"/>
  <c r="T59"/>
  <c r="S67"/>
  <c r="T67"/>
  <c r="P51"/>
  <c r="Q53"/>
  <c r="P53"/>
  <c r="W53" s="1"/>
  <c r="S49"/>
  <c r="W64"/>
  <c r="P64"/>
  <c r="Q64" s="1"/>
  <c r="V47"/>
  <c r="F67"/>
  <c r="E67"/>
  <c r="G67" s="1"/>
  <c r="M64"/>
  <c r="L64"/>
  <c r="N64" s="1"/>
  <c r="T43"/>
  <c r="M68"/>
  <c r="L68"/>
  <c r="N68" s="1"/>
  <c r="W57"/>
  <c r="P57"/>
  <c r="Q57"/>
  <c r="N51"/>
  <c r="L51"/>
  <c r="M51" s="1"/>
  <c r="S59"/>
  <c r="I57"/>
  <c r="V57" s="1"/>
  <c r="E61"/>
  <c r="F61" s="1"/>
  <c r="S54"/>
  <c r="I53"/>
  <c r="V53"/>
  <c r="M61"/>
  <c r="L61"/>
  <c r="N61" s="1"/>
  <c r="W75"/>
  <c r="P75"/>
  <c r="Q75" s="1"/>
  <c r="I47"/>
  <c r="I51"/>
  <c r="V51" s="1"/>
  <c r="I60"/>
  <c r="V60" s="1"/>
  <c r="T51"/>
  <c r="Q45"/>
  <c r="P45"/>
  <c r="W45" s="1"/>
  <c r="T49"/>
  <c r="T218" s="1"/>
  <c r="Q55"/>
  <c r="P55"/>
  <c r="W55" s="1"/>
  <c r="F57"/>
  <c r="E57"/>
  <c r="G57" s="1"/>
  <c r="T75"/>
  <c r="G68"/>
  <c r="E68"/>
  <c r="F68" s="1"/>
  <c r="M59"/>
  <c r="L59"/>
  <c r="N59" s="1"/>
  <c r="I55"/>
  <c r="V55"/>
  <c r="P54"/>
  <c r="W54" s="1"/>
  <c r="I43"/>
  <c r="I218" s="1"/>
  <c r="I59"/>
  <c r="V59"/>
  <c r="G47"/>
  <c r="E47"/>
  <c r="F47" s="1"/>
  <c r="Q61"/>
  <c r="P61"/>
  <c r="W61" s="1"/>
  <c r="P43"/>
  <c r="P218" s="1"/>
  <c r="P77"/>
  <c r="P206" s="1"/>
  <c r="Q206" s="1"/>
  <c r="E45"/>
  <c r="G45" s="1"/>
  <c r="Q60"/>
  <c r="P60"/>
  <c r="W60"/>
  <c r="N65"/>
  <c r="L65"/>
  <c r="M65" s="1"/>
  <c r="F52"/>
  <c r="E52"/>
  <c r="G52" s="1"/>
  <c r="I75"/>
  <c r="V75"/>
  <c r="I49"/>
  <c r="V49" s="1"/>
  <c r="E54"/>
  <c r="G54"/>
  <c r="I61"/>
  <c r="V61" s="1"/>
  <c r="I45"/>
  <c r="V45" s="1"/>
  <c r="S71"/>
  <c r="I68"/>
  <c r="V68" s="1"/>
  <c r="S43"/>
  <c r="L43"/>
  <c r="N43" s="1"/>
  <c r="E43"/>
  <c r="D218" s="1"/>
  <c r="T52"/>
  <c r="I54"/>
  <c r="V54" s="1"/>
  <c r="I71"/>
  <c r="V71" s="1"/>
  <c r="I64"/>
  <c r="V64" s="1"/>
  <c r="Q218" l="1"/>
  <c r="W218"/>
  <c r="P220"/>
  <c r="Q220" s="1"/>
  <c r="V218"/>
  <c r="I220"/>
  <c r="I77"/>
  <c r="P226"/>
  <c r="Q77"/>
  <c r="M43"/>
  <c r="F51"/>
  <c r="W49"/>
  <c r="L218"/>
  <c r="F45"/>
  <c r="G61"/>
  <c r="F71"/>
  <c r="W68"/>
  <c r="E218"/>
  <c r="G70"/>
  <c r="F53"/>
  <c r="W67"/>
  <c r="W70"/>
  <c r="G49"/>
  <c r="G59"/>
  <c r="E77"/>
  <c r="L77"/>
  <c r="N77" l="1"/>
  <c r="M77"/>
  <c r="L206"/>
  <c r="L226"/>
  <c r="G218"/>
  <c r="K5" i="24"/>
  <c r="F218" i="2"/>
  <c r="K5" i="17"/>
  <c r="I206" i="2"/>
  <c r="I226"/>
  <c r="I232" s="1"/>
  <c r="Q226"/>
  <c r="P232"/>
  <c r="Q232" s="1"/>
  <c r="F77"/>
  <c r="G77"/>
  <c r="E206"/>
  <c r="E226"/>
  <c r="N218"/>
  <c r="M218"/>
  <c r="K6" i="17"/>
  <c r="L220" i="2"/>
  <c r="K6" i="24"/>
  <c r="AG6" l="1"/>
  <c r="M6"/>
  <c r="AG5"/>
  <c r="M5"/>
  <c r="M6" i="17"/>
  <c r="AF6"/>
  <c r="AG6" i="23"/>
  <c r="G206" i="2"/>
  <c r="F206"/>
  <c r="N206"/>
  <c r="M206"/>
  <c r="M220"/>
  <c r="N220"/>
  <c r="F226"/>
  <c r="C17" i="10"/>
  <c r="C23" s="1"/>
  <c r="C24" s="1"/>
  <c r="E232" i="2"/>
  <c r="G226"/>
  <c r="AG5" i="23"/>
  <c r="AF5" i="17"/>
  <c r="L232" i="2"/>
  <c r="M226"/>
  <c r="D29" i="10"/>
  <c r="N226" i="2"/>
  <c r="AI6" i="23" l="1"/>
  <c r="N6" i="17"/>
  <c r="O6" s="1"/>
  <c r="AH6"/>
  <c r="AG6" i="13"/>
  <c r="E52" i="14" s="1"/>
  <c r="E57" s="1"/>
  <c r="B29" i="10"/>
  <c r="D35"/>
  <c r="N6" i="24"/>
  <c r="O6" s="1"/>
  <c r="AI6"/>
  <c r="N232" i="2"/>
  <c r="M232"/>
  <c r="N5" i="22"/>
  <c r="E220" i="2"/>
  <c r="N5" i="23"/>
  <c r="M5" i="17"/>
  <c r="F232" i="2"/>
  <c r="G232"/>
  <c r="N5" i="24"/>
  <c r="AI5"/>
  <c r="AI5" i="23" l="1"/>
  <c r="AG5" i="13"/>
  <c r="E27" i="14" s="1"/>
  <c r="E31" s="1"/>
  <c r="N5" i="17"/>
  <c r="AH5"/>
  <c r="D36" i="10"/>
  <c r="D37" s="1"/>
  <c r="E35"/>
  <c r="B35"/>
  <c r="G220" i="2"/>
  <c r="F220"/>
</calcChain>
</file>

<file path=xl/sharedStrings.xml><?xml version="1.0" encoding="utf-8"?>
<sst xmlns="http://schemas.openxmlformats.org/spreadsheetml/2006/main" count="964" uniqueCount="346">
  <si>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</si>
  <si>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</si>
  <si>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</si>
  <si>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</si>
  <si>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</si>
  <si>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</si>
  <si>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</si>
  <si>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</si>
  <si>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</si>
  <si>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</si>
  <si>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</si>
  <si>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</si>
  <si>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</si>
  <si>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</si>
  <si>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</si>
  <si>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</si>
  <si>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</si>
  <si>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</si>
  <si>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</si>
  <si>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</si>
  <si>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</si>
  <si>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</si>
  <si>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</si>
  <si>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</si>
  <si>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</si>
  <si>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</si>
  <si>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</si>
  <si>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</si>
  <si>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</si>
  <si>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</si>
  <si>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</si>
  <si>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</si>
  <si>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</si>
  <si>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</si>
  <si>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</si>
  <si>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</si>
  <si>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</si>
  <si>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</si>
  <si>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</si>
  <si>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</si>
  <si>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</si>
  <si>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</si>
  <si>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</si>
  <si>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</si>
  <si>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</si>
  <si>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</si>
  <si>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</si>
  <si>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</si>
  <si>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</si>
  <si>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</si>
  <si>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</si>
  <si>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</si>
  <si>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</si>
  <si>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</si>
  <si>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</si>
  <si>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</si>
  <si>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</si>
  <si>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</si>
  <si>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</si>
  <si>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</si>
  <si>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</si>
  <si>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</si>
  <si>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</si>
  <si>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</si>
  <si>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</si>
  <si>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</si>
  <si>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</si>
  <si>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</si>
  <si>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</si>
  <si>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</si>
  <si>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</si>
  <si>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</si>
  <si>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</si>
  <si>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</si>
  <si>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</si>
  <si>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</si>
  <si>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</si>
  <si>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</si>
  <si>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</si>
  <si>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</si>
  <si>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</si>
  <si>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</si>
  <si>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</si>
  <si>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</si>
  <si>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</si>
  <si>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</si>
  <si>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</si>
  <si>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</si>
  <si>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</si>
  <si>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</si>
  <si>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</si>
  <si>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</si>
  <si>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</si>
  <si>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</si>
  <si>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</si>
  <si>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</si>
  <si>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</si>
  <si>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</si>
  <si>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</si>
  <si>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</si>
  <si>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</si>
  <si>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</si>
  <si>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</si>
  <si>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</si>
  <si>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</si>
  <si>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</si>
  <si>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</si>
  <si>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</si>
  <si>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</si>
  <si>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</si>
  <si>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</si>
  <si>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</si>
  <si>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</si>
  <si>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</si>
  <si>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</si>
  <si>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</si>
  <si>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</si>
  <si>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</si>
  <si>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</si>
  <si>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</si>
  <si>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</si>
  <si>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</si>
  <si>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</si>
  <si>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</si>
  <si>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</si>
  <si>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</si>
  <si>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</si>
  <si>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</si>
  <si>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</si>
  <si>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</si>
  <si>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</si>
  <si>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</si>
  <si>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</si>
  <si>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</si>
  <si>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</si>
  <si>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</si>
  <si>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</si>
  <si>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</si>
  <si>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</si>
  <si>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</si>
  <si>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</si>
  <si>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</si>
  <si>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</si>
  <si>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</si>
  <si>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</si>
  <si>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</si>
  <si>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</si>
  <si>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</si>
  <si>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</si>
  <si>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</si>
  <si>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</si>
  <si>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</si>
  <si>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</si>
  <si>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</si>
  <si>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</si>
  <si>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</si>
  <si>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</si>
  <si>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</si>
  <si>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</si>
  <si>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</si>
  <si>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</si>
  <si>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</si>
  <si>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</si>
  <si>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</si>
  <si>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</si>
  <si>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</si>
  <si>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</si>
  <si>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</si>
  <si>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</si>
  <si>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</si>
  <si>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</si>
  <si>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</si>
  <si>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</si>
  <si>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</si>
  <si>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</si>
  <si>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</si>
  <si>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</si>
  <si>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</si>
  <si>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</si>
  <si>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</si>
  <si>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</si>
  <si>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</si>
  <si>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</si>
  <si>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</si>
  <si>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</si>
  <si>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</si>
  <si>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</si>
  <si>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</si>
  <si>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</si>
  <si>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</si>
  <si>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</si>
  <si>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</si>
  <si>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</si>
  <si>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</si>
  <si>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</si>
  <si>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</si>
  <si>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</si>
  <si>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</si>
  <si>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</si>
  <si>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</si>
  <si>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</si>
  <si>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</si>
  <si>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</si>
  <si>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</si>
  <si>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</si>
  <si>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</si>
  <si>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</si>
  <si>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</si>
  <si>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</si>
  <si>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</si>
  <si>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</si>
  <si>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</si>
  <si>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</si>
  <si>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</si>
  <si>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</si>
  <si>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</si>
  <si>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</si>
  <si>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</si>
  <si>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</si>
  <si>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</si>
  <si>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</si>
  <si>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</si>
  <si>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</si>
  <si>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</si>
  <si>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</si>
  <si>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</si>
  <si>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</si>
  <si>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</si>
  <si>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</si>
  <si>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</si>
  <si>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</si>
  <si>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</si>
  <si>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</si>
  <si>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</si>
  <si>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</si>
  <si>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</si>
  <si>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</si>
  <si>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</si>
  <si>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</si>
  <si>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</si>
  <si>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</si>
  <si>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</si>
  <si>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</si>
  <si>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</si>
  <si>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</si>
  <si>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</si>
  <si>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</si>
  <si>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</si>
  <si>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</si>
  <si>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</si>
  <si>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</si>
  <si>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</si>
  <si>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</si>
  <si>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</si>
  <si>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</si>
  <si>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</si>
  <si>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</si>
  <si>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</si>
  <si>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</si>
  <si>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</si>
  <si>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</si>
  <si>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</si>
  <si>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</si>
  <si>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</si>
  <si>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</si>
  <si>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</si>
  <si>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</si>
  <si>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</si>
  <si>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</si>
  <si>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</si>
  <si>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</si>
  <si>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</si>
  <si>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</si>
  <si>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</si>
  <si>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</si>
  <si>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</si>
  <si>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</si>
  <si>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</si>
  <si>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</si>
  <si>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</si>
  <si>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</si>
  <si>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</si>
  <si>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</si>
  <si>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</si>
  <si>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</si>
  <si>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</si>
  <si>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</si>
  <si>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</si>
  <si>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</si>
  <si>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</si>
  <si>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</si>
  <si>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</si>
  <si>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</si>
  <si>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</si>
  <si>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</si>
  <si>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</si>
  <si>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</si>
  <si>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</si>
  <si>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</si>
  <si>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</si>
  <si>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</si>
  <si>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</si>
  <si>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</si>
  <si>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</si>
  <si>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</si>
  <si>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</si>
  <si>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</si>
  <si>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</si>
  <si>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</si>
  <si>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</si>
  <si>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</si>
  <si>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</si>
  <si>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</si>
  <si>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</si>
  <si>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</si>
  <si>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</si>
  <si>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</si>
  <si>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</si>
  <si>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</si>
  <si>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>New Added in June 2014</t>
  </si>
  <si>
    <t xml:space="preserve">* The total figure for districts/areas and union councils excludes 28 overlapping districts (presence of multiple RSP) and 670 overlapping union councils </t>
  </si>
  <si>
    <t>Difference over last quarter</t>
  </si>
  <si>
    <t># as of September 2014</t>
  </si>
  <si>
    <t>Number of Revenue Villages Having RSPs Presence (as of September 2014)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</si>
  <si>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</si>
  <si>
    <t># as of December 2014</t>
  </si>
  <si>
    <t>% coverage as of December 2014</t>
  </si>
  <si>
    <t>Number of Revenue Villages Having RSPs Presence (as of December 2014)</t>
  </si>
  <si>
    <t xml:space="preserve">Regional Offices </t>
  </si>
  <si>
    <t>Sub District/Field Units</t>
  </si>
  <si>
    <t>Special Project Offices</t>
  </si>
  <si>
    <t>Head Offices</t>
  </si>
  <si>
    <t>District Offices</t>
  </si>
  <si>
    <t xml:space="preserve"># of offices </t>
  </si>
  <si>
    <t xml:space="preserve"># of  management and professional staff members </t>
  </si>
  <si>
    <t xml:space="preserve">Male </t>
  </si>
  <si>
    <t xml:space="preserve">Female </t>
  </si>
  <si>
    <r>
      <t>Rural Support Programmes (RSPs) in Pakistan, Cumulative Progress as of December</t>
    </r>
    <r>
      <rPr>
        <b/>
        <sz val="10"/>
        <color indexed="10"/>
        <rFont val="Calibri"/>
        <family val="2"/>
      </rPr>
      <t xml:space="preserve"> 2014</t>
    </r>
  </si>
  <si>
    <r>
      <t xml:space="preserve">Rural Support Programmes (RSPs) in Pakistan, District-wise RSPs Coverage/Outreach as of Dec </t>
    </r>
    <r>
      <rPr>
        <b/>
        <sz val="10"/>
        <color indexed="10"/>
        <rFont val="Calibri"/>
        <family val="2"/>
      </rPr>
      <t>2014</t>
    </r>
  </si>
  <si>
    <t>Distrct office (Yes/NO)</t>
  </si>
  <si>
    <t>Number of Sub distirct or Field Units</t>
  </si>
  <si>
    <t>Yes</t>
  </si>
  <si>
    <t>Gujranwala (overlapping)</t>
  </si>
  <si>
    <t>New added in Dec 2014</t>
  </si>
  <si>
    <t>Note: ** The 121 include 116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</si>
  <si>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29 overlapping districts (presence of multiple RSP) and 712 overlapping union councils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</si>
</sst>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73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43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9" fillId="0" borderId="12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vertical="center"/>
    </xf>
    <xf numFmtId="165" fontId="29" fillId="0" borderId="13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/>
    </xf>
    <xf numFmtId="165" fontId="29" fillId="25" borderId="13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horizontal="center" vertical="center"/>
    </xf>
    <xf numFmtId="165" fontId="29" fillId="0" borderId="18" xfId="508" applyNumberFormat="1" applyFont="1" applyFill="1" applyBorder="1" applyAlignment="1">
      <alignment horizontal="center"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13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2" xfId="508" applyNumberFormat="1" applyFont="1" applyFill="1" applyBorder="1"/>
    <xf numFmtId="0" fontId="28" fillId="0" borderId="23" xfId="0" applyFont="1" applyFill="1" applyBorder="1"/>
    <xf numFmtId="165" fontId="28" fillId="0" borderId="24" xfId="508" applyNumberFormat="1" applyFont="1" applyFill="1" applyBorder="1" applyAlignment="1">
      <alignment horizontal="center" vertical="center"/>
    </xf>
    <xf numFmtId="165" fontId="28" fillId="0" borderId="25" xfId="508" applyNumberFormat="1" applyFont="1" applyFill="1" applyBorder="1" applyAlignment="1">
      <alignment horizontal="center" vertical="center"/>
    </xf>
    <xf numFmtId="165" fontId="28" fillId="0" borderId="26" xfId="508" applyNumberFormat="1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3" xfId="508" applyNumberFormat="1" applyFont="1" applyBorder="1" applyAlignment="1">
      <alignment horizontal="center" wrapText="1"/>
    </xf>
    <xf numFmtId="164" fontId="30" fillId="0" borderId="13" xfId="508" applyNumberFormat="1" applyFont="1" applyFill="1" applyBorder="1" applyAlignment="1">
      <alignment horizontal="center" wrapText="1"/>
    </xf>
    <xf numFmtId="164" fontId="31" fillId="24" borderId="13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28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27" xfId="0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Alignment="1">
      <alignment horizontal="left"/>
    </xf>
    <xf numFmtId="165" fontId="29" fillId="0" borderId="29" xfId="508" applyNumberFormat="1" applyFont="1" applyFill="1" applyBorder="1" applyAlignment="1">
      <alignment horizontal="left" vertical="center" wrapText="1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28" xfId="508" applyNumberFormat="1" applyFont="1" applyFill="1" applyBorder="1" applyAlignment="1">
      <alignment horizontal="center" vertical="center" wrapText="1"/>
    </xf>
    <xf numFmtId="165" fontId="28" fillId="0" borderId="20" xfId="508" applyNumberFormat="1" applyFont="1" applyFill="1" applyBorder="1" applyAlignment="1">
      <alignment horizontal="center"/>
    </xf>
    <xf numFmtId="0" fontId="29" fillId="0" borderId="21" xfId="0" applyFont="1" applyFill="1" applyBorder="1"/>
    <xf numFmtId="0" fontId="29" fillId="0" borderId="12" xfId="0" applyFont="1" applyFill="1" applyBorder="1" applyAlignment="1">
      <alignment vertical="center"/>
    </xf>
    <xf numFmtId="0" fontId="29" fillId="0" borderId="29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165" fontId="29" fillId="0" borderId="24" xfId="508" applyNumberFormat="1" applyFont="1" applyFill="1" applyBorder="1" applyAlignment="1">
      <alignment horizontal="left" vertical="center"/>
    </xf>
    <xf numFmtId="43" fontId="0" fillId="0" borderId="0" xfId="0" applyNumberFormat="1"/>
    <xf numFmtId="165" fontId="29" fillId="0" borderId="14" xfId="508" applyNumberFormat="1" applyFont="1" applyFill="1" applyBorder="1" applyAlignment="1">
      <alignment vertical="center"/>
    </xf>
    <xf numFmtId="165" fontId="29" fillId="0" borderId="24" xfId="508" applyNumberFormat="1" applyFont="1" applyFill="1" applyBorder="1" applyAlignment="1">
      <alignment horizontal="center" vertical="center"/>
    </xf>
    <xf numFmtId="0" fontId="30" fillId="0" borderId="0" xfId="0" applyFont="1" applyFill="1"/>
    <xf numFmtId="167" fontId="29" fillId="0" borderId="13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1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9" fillId="0" borderId="24" xfId="508" applyNumberFormat="1" applyFont="1" applyFill="1" applyBorder="1" applyAlignment="1">
      <alignment horizontal="center" vertical="center"/>
    </xf>
    <xf numFmtId="43" fontId="30" fillId="0" borderId="13" xfId="508" applyFont="1" applyFill="1" applyBorder="1" applyAlignment="1">
      <alignment horizontal="center" vertical="center" wrapText="1"/>
    </xf>
    <xf numFmtId="167" fontId="30" fillId="0" borderId="13" xfId="508" applyNumberFormat="1" applyFont="1" applyFill="1" applyBorder="1" applyAlignment="1">
      <alignment horizontal="center" vertical="center" wrapText="1"/>
    </xf>
    <xf numFmtId="164" fontId="30" fillId="0" borderId="13" xfId="508" applyNumberFormat="1" applyFont="1" applyBorder="1" applyAlignment="1">
      <alignment horizontal="center" vertical="center" wrapText="1"/>
    </xf>
    <xf numFmtId="164" fontId="30" fillId="0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/>
    </xf>
    <xf numFmtId="43" fontId="30" fillId="0" borderId="13" xfId="508" applyFont="1" applyBorder="1" applyAlignment="1">
      <alignment horizontal="center" vertical="center" wrapText="1"/>
    </xf>
    <xf numFmtId="43" fontId="31" fillId="24" borderId="13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3" xfId="0" applyBorder="1"/>
    <xf numFmtId="0" fontId="29" fillId="0" borderId="30" xfId="0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vertical="center" wrapText="1"/>
    </xf>
    <xf numFmtId="165" fontId="28" fillId="0" borderId="30" xfId="508" applyNumberFormat="1" applyFont="1" applyFill="1" applyBorder="1" applyAlignment="1">
      <alignment vertical="center" wrapText="1"/>
    </xf>
    <xf numFmtId="165" fontId="29" fillId="0" borderId="13" xfId="508" applyNumberFormat="1" applyFont="1" applyFill="1" applyBorder="1" applyAlignment="1">
      <alignment horizontal="left" vertical="center"/>
    </xf>
    <xf numFmtId="167" fontId="0" fillId="0" borderId="13" xfId="508" applyNumberFormat="1" applyFont="1" applyBorder="1"/>
    <xf numFmtId="165" fontId="0" fillId="0" borderId="13" xfId="508" applyNumberFormat="1" applyFont="1" applyBorder="1"/>
    <xf numFmtId="0" fontId="28" fillId="0" borderId="13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3" xfId="508" applyNumberFormat="1" applyFont="1" applyFill="1" applyBorder="1" applyAlignment="1">
      <alignment horizontal="center" vertical="center" wrapText="1"/>
    </xf>
    <xf numFmtId="9" fontId="32" fillId="24" borderId="28" xfId="508" applyNumberFormat="1" applyFont="1" applyFill="1" applyBorder="1" applyAlignment="1">
      <alignment horizontal="center" vertical="center" wrapText="1"/>
    </xf>
    <xf numFmtId="167" fontId="29" fillId="0" borderId="17" xfId="508" applyNumberFormat="1" applyFont="1" applyFill="1" applyBorder="1" applyAlignment="1">
      <alignment horizontal="center" vertical="center"/>
    </xf>
    <xf numFmtId="167" fontId="29" fillId="0" borderId="25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3" xfId="508" applyNumberFormat="1" applyFont="1" applyBorder="1"/>
    <xf numFmtId="0" fontId="28" fillId="0" borderId="23" xfId="0" applyFont="1" applyFill="1" applyBorder="1" applyAlignment="1">
      <alignment horizontal="left" vertical="center"/>
    </xf>
    <xf numFmtId="165" fontId="28" fillId="0" borderId="33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left" vertical="center"/>
    </xf>
    <xf numFmtId="165" fontId="29" fillId="0" borderId="19" xfId="508" applyNumberFormat="1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vertical="center"/>
    </xf>
    <xf numFmtId="0" fontId="29" fillId="0" borderId="16" xfId="0" applyFont="1" applyFill="1" applyBorder="1" applyAlignment="1">
      <alignment vertical="center"/>
    </xf>
    <xf numFmtId="167" fontId="29" fillId="0" borderId="34" xfId="508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165" fontId="28" fillId="0" borderId="22" xfId="508" applyNumberFormat="1" applyFont="1" applyFill="1" applyBorder="1" applyAlignment="1">
      <alignment horizontal="center" vertical="center"/>
    </xf>
    <xf numFmtId="167" fontId="28" fillId="0" borderId="23" xfId="508" applyNumberFormat="1" applyFont="1" applyFill="1" applyBorder="1" applyAlignment="1">
      <alignment horizontal="center" vertical="center"/>
    </xf>
    <xf numFmtId="165" fontId="28" fillId="0" borderId="35" xfId="508" applyNumberFormat="1" applyFont="1" applyFill="1" applyBorder="1" applyAlignment="1">
      <alignment horizontal="center" vertical="center"/>
    </xf>
    <xf numFmtId="10" fontId="28" fillId="0" borderId="32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33" fillId="0" borderId="13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3" xfId="508" applyNumberFormat="1" applyFont="1" applyFill="1" applyBorder="1" applyAlignment="1">
      <alignment horizontal="center" vertical="center" wrapText="1"/>
    </xf>
    <xf numFmtId="165" fontId="30" fillId="24" borderId="13" xfId="508" applyNumberFormat="1" applyFont="1" applyFill="1" applyBorder="1" applyAlignment="1">
      <alignment horizontal="center" vertical="center" wrapText="1"/>
    </xf>
    <xf numFmtId="0" fontId="31" fillId="28" borderId="24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3" xfId="508" applyNumberFormat="1" applyFont="1" applyFill="1" applyBorder="1" applyAlignment="1">
      <alignment vertical="center"/>
    </xf>
    <xf numFmtId="165" fontId="8" fillId="0" borderId="13" xfId="508" applyNumberFormat="1" applyFont="1" applyFill="1" applyBorder="1" applyAlignment="1">
      <alignment horizontal="center" vertical="center"/>
    </xf>
    <xf numFmtId="165" fontId="36" fillId="0" borderId="13" xfId="508" applyNumberFormat="1" applyFont="1" applyBorder="1"/>
    <xf numFmtId="43" fontId="30" fillId="24" borderId="13" xfId="508" applyNumberFormat="1" applyFont="1" applyFill="1" applyBorder="1" applyAlignment="1">
      <alignment horizontal="center" vertical="center" wrapText="1"/>
    </xf>
    <xf numFmtId="165" fontId="29" fillId="0" borderId="13" xfId="508" applyNumberFormat="1" applyFont="1" applyFill="1" applyBorder="1" applyAlignment="1">
      <alignment horizontal="center" vertical="center" wrapText="1"/>
    </xf>
    <xf numFmtId="165" fontId="29" fillId="28" borderId="13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3" xfId="669" applyNumberFormat="1" applyFont="1" applyFill="1" applyBorder="1" applyAlignment="1">
      <alignment horizontal="center" vertical="center"/>
    </xf>
    <xf numFmtId="164" fontId="26" fillId="0" borderId="14" xfId="869" applyNumberFormat="1" applyFont="1" applyFill="1" applyBorder="1" applyAlignment="1">
      <alignment horizontal="left" vertical="top"/>
    </xf>
    <xf numFmtId="164" fontId="26" fillId="0" borderId="15" xfId="869" applyNumberFormat="1" applyFont="1" applyFill="1" applyBorder="1" applyAlignment="1"/>
    <xf numFmtId="164" fontId="8" fillId="0" borderId="13" xfId="869" applyNumberFormat="1" applyFont="1" applyBorder="1"/>
    <xf numFmtId="165" fontId="30" fillId="0" borderId="13" xfId="870" applyNumberFormat="1" applyFont="1" applyFill="1" applyBorder="1" applyAlignment="1">
      <alignment horizontal="center" vertical="center" wrapText="1"/>
    </xf>
    <xf numFmtId="164" fontId="26" fillId="0" borderId="14" xfId="869" applyNumberFormat="1" applyFont="1" applyFill="1" applyBorder="1" applyAlignment="1"/>
    <xf numFmtId="164" fontId="26" fillId="0" borderId="13" xfId="869" applyNumberFormat="1" applyFont="1" applyFill="1" applyBorder="1" applyAlignment="1">
      <alignment horizontal="left"/>
    </xf>
    <xf numFmtId="164" fontId="26" fillId="0" borderId="13" xfId="869" applyNumberFormat="1" applyFont="1" applyFill="1" applyBorder="1" applyAlignment="1">
      <alignment horizontal="center"/>
    </xf>
    <xf numFmtId="164" fontId="8" fillId="0" borderId="13" xfId="869" applyNumberFormat="1" applyFont="1" applyBorder="1" applyAlignment="1">
      <alignment horizontal="right" vertical="center"/>
    </xf>
    <xf numFmtId="164" fontId="26" fillId="0" borderId="13" xfId="869" applyNumberFormat="1" applyFont="1" applyBorder="1" applyAlignment="1">
      <alignment horizontal="center" wrapText="1"/>
    </xf>
    <xf numFmtId="164" fontId="26" fillId="0" borderId="13" xfId="869" applyNumberFormat="1" applyFont="1" applyFill="1" applyBorder="1" applyAlignment="1">
      <alignment horizontal="center" wrapText="1"/>
    </xf>
    <xf numFmtId="164" fontId="27" fillId="29" borderId="13" xfId="869" applyNumberFormat="1" applyFont="1" applyFill="1" applyBorder="1" applyAlignment="1">
      <alignment horizontal="center" wrapText="1"/>
    </xf>
    <xf numFmtId="164" fontId="39" fillId="29" borderId="13" xfId="869" applyNumberFormat="1" applyFont="1" applyFill="1" applyBorder="1"/>
    <xf numFmtId="165" fontId="30" fillId="24" borderId="13" xfId="870" applyNumberFormat="1" applyFont="1" applyFill="1" applyBorder="1" applyAlignment="1">
      <alignment horizontal="center" vertical="center" wrapText="1"/>
    </xf>
    <xf numFmtId="0" fontId="26" fillId="0" borderId="13" xfId="869" applyFont="1" applyBorder="1" applyAlignment="1">
      <alignment horizontal="center" wrapText="1"/>
    </xf>
    <xf numFmtId="43" fontId="8" fillId="0" borderId="13" xfId="871" applyFont="1" applyBorder="1"/>
    <xf numFmtId="0" fontId="26" fillId="0" borderId="13" xfId="869" applyFont="1" applyFill="1" applyBorder="1" applyAlignment="1">
      <alignment horizontal="center" wrapText="1"/>
    </xf>
    <xf numFmtId="0" fontId="8" fillId="0" borderId="13" xfId="869" applyFont="1" applyBorder="1"/>
    <xf numFmtId="0" fontId="39" fillId="29" borderId="13" xfId="869" applyFont="1" applyFill="1" applyBorder="1"/>
    <xf numFmtId="164" fontId="26" fillId="0" borderId="13" xfId="869" applyNumberFormat="1" applyFont="1" applyFill="1" applyBorder="1" applyAlignment="1">
      <alignment horizontal="center" vertical="top" wrapText="1"/>
    </xf>
    <xf numFmtId="164" fontId="8" fillId="0" borderId="13" xfId="869" applyNumberFormat="1" applyFont="1" applyFill="1" applyBorder="1"/>
    <xf numFmtId="167" fontId="30" fillId="0" borderId="13" xfId="870" applyNumberFormat="1" applyFont="1" applyFill="1" applyBorder="1" applyAlignment="1">
      <alignment horizontal="center" vertical="center" wrapText="1"/>
    </xf>
    <xf numFmtId="43" fontId="39" fillId="0" borderId="13" xfId="871" applyFont="1" applyFill="1" applyBorder="1"/>
    <xf numFmtId="43" fontId="39" fillId="29" borderId="13" xfId="871" applyFont="1" applyFill="1" applyBorder="1"/>
    <xf numFmtId="164" fontId="39" fillId="29" borderId="13" xfId="869" applyNumberFormat="1" applyFont="1" applyFill="1" applyBorder="1" applyAlignment="1">
      <alignment horizontal="right"/>
    </xf>
    <xf numFmtId="38" fontId="8" fillId="0" borderId="13" xfId="869" applyNumberFormat="1" applyFont="1" applyBorder="1"/>
    <xf numFmtId="40" fontId="8" fillId="0" borderId="13" xfId="869" applyNumberFormat="1" applyFont="1" applyBorder="1"/>
    <xf numFmtId="165" fontId="26" fillId="0" borderId="13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4" xfId="669" applyNumberFormat="1" applyFont="1" applyBorder="1" applyAlignment="1">
      <alignment vertical="center" wrapText="1"/>
    </xf>
    <xf numFmtId="165" fontId="26" fillId="0" borderId="15" xfId="871" applyNumberFormat="1" applyFont="1" applyBorder="1" applyAlignment="1">
      <alignment vertical="center" wrapText="1"/>
    </xf>
    <xf numFmtId="40" fontId="26" fillId="0" borderId="14" xfId="869" applyNumberFormat="1" applyFont="1" applyBorder="1" applyAlignment="1">
      <alignment vertical="center" wrapText="1"/>
    </xf>
    <xf numFmtId="0" fontId="36" fillId="0" borderId="41" xfId="868" applyFont="1" applyBorder="1" applyAlignment="1">
      <alignment vertical="top" wrapText="1"/>
    </xf>
    <xf numFmtId="167" fontId="8" fillId="0" borderId="13" xfId="871" applyNumberFormat="1" applyFont="1" applyBorder="1"/>
    <xf numFmtId="167" fontId="30" fillId="0" borderId="13" xfId="871" applyNumberFormat="1" applyFont="1" applyFill="1" applyBorder="1" applyAlignment="1">
      <alignment horizontal="center" vertical="center" wrapText="1"/>
    </xf>
    <xf numFmtId="167" fontId="39" fillId="29" borderId="13" xfId="871" applyNumberFormat="1" applyFont="1" applyFill="1" applyBorder="1"/>
    <xf numFmtId="164" fontId="26" fillId="0" borderId="17" xfId="869" applyNumberFormat="1" applyFont="1" applyBorder="1" applyAlignment="1">
      <alignment vertical="top" wrapText="1"/>
    </xf>
    <xf numFmtId="167" fontId="8" fillId="0" borderId="13" xfId="871" applyNumberFormat="1" applyFont="1" applyFill="1" applyBorder="1"/>
    <xf numFmtId="0" fontId="40" fillId="0" borderId="41" xfId="868" applyFont="1" applyBorder="1" applyAlignment="1">
      <alignment vertical="center" wrapText="1"/>
    </xf>
    <xf numFmtId="0" fontId="2" fillId="0" borderId="41" xfId="868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165" fontId="30" fillId="24" borderId="13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4" xfId="0" applyFont="1" applyFill="1" applyBorder="1" applyAlignment="1">
      <alignment horizontal="center" vertical="center"/>
    </xf>
    <xf numFmtId="165" fontId="30" fillId="30" borderId="13" xfId="508" applyNumberFormat="1" applyFont="1" applyFill="1" applyBorder="1" applyAlignment="1">
      <alignment horizontal="center" vertical="center" wrapText="1"/>
    </xf>
    <xf numFmtId="0" fontId="36" fillId="0" borderId="0" xfId="868" applyFont="1" applyBorder="1" applyAlignment="1">
      <alignment vertical="top" wrapText="1"/>
    </xf>
    <xf numFmtId="17" fontId="27" fillId="29" borderId="0" xfId="669" applyNumberFormat="1" applyFont="1" applyFill="1" applyBorder="1" applyAlignment="1">
      <alignment horizontal="center" vertical="center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28" borderId="24" xfId="0" applyFont="1" applyFill="1" applyBorder="1" applyAlignment="1" applyProtection="1">
      <alignment horizontal="center" vertical="center"/>
      <protection locked="0"/>
    </xf>
    <xf numFmtId="0" fontId="31" fillId="0" borderId="27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Protection="1">
      <protection locked="0"/>
    </xf>
    <xf numFmtId="165" fontId="29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3" xfId="508" applyNumberFormat="1" applyFont="1" applyBorder="1" applyAlignment="1" applyProtection="1">
      <alignment horizontal="center" vertical="center" wrapText="1"/>
      <protection locked="0"/>
    </xf>
    <xf numFmtId="165" fontId="29" fillId="28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3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/>
      <protection locked="0"/>
    </xf>
    <xf numFmtId="43" fontId="30" fillId="0" borderId="13" xfId="508" applyFont="1" applyBorder="1" applyAlignment="1" applyProtection="1">
      <alignment horizontal="center" vertical="center" wrapText="1"/>
      <protection locked="0"/>
    </xf>
    <xf numFmtId="43" fontId="30" fillId="0" borderId="13" xfId="508" applyFont="1" applyFill="1" applyBorder="1" applyAlignment="1" applyProtection="1">
      <alignment horizontal="center" vertical="center" wrapText="1"/>
      <protection locked="0"/>
    </xf>
    <xf numFmtId="43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3" xfId="508" applyFont="1" applyFill="1" applyBorder="1" applyAlignment="1" applyProtection="1">
      <alignment horizontal="center" vertical="center" wrapText="1"/>
      <protection locked="0"/>
    </xf>
    <xf numFmtId="165" fontId="30" fillId="24" borderId="13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Alignment="1" applyProtection="1">
      <alignment horizont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28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3" xfId="508" applyNumberFormat="1" applyFont="1" applyFill="1" applyBorder="1" applyAlignment="1">
      <alignment horizontal="center" vertical="center" wrapText="1"/>
    </xf>
    <xf numFmtId="165" fontId="42" fillId="28" borderId="13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3" xfId="508" applyNumberFormat="1" applyFont="1" applyFill="1" applyBorder="1" applyAlignment="1">
      <alignment horizontal="center" vertical="center" wrapText="1"/>
    </xf>
    <xf numFmtId="0" fontId="43" fillId="31" borderId="41" xfId="0" applyFont="1" applyFill="1" applyBorder="1" applyAlignment="1">
      <alignment wrapText="1"/>
    </xf>
    <xf numFmtId="165" fontId="29" fillId="27" borderId="0" xfId="508" applyNumberFormat="1" applyFont="1" applyFill="1" applyAlignment="1">
      <alignment horizontal="left"/>
    </xf>
    <xf numFmtId="0" fontId="29" fillId="27" borderId="0" xfId="0" applyFont="1" applyFill="1"/>
    <xf numFmtId="165" fontId="29" fillId="27" borderId="0" xfId="508" applyNumberFormat="1" applyFont="1" applyFill="1" applyAlignment="1">
      <alignment horizontal="center" vertical="center"/>
    </xf>
    <xf numFmtId="165" fontId="29" fillId="27" borderId="0" xfId="508" applyNumberFormat="1" applyFont="1" applyFill="1" applyBorder="1" applyAlignment="1">
      <alignment horizontal="center" vertical="center"/>
    </xf>
    <xf numFmtId="167" fontId="29" fillId="27" borderId="0" xfId="508" applyNumberFormat="1" applyFont="1" applyFill="1" applyBorder="1" applyAlignment="1">
      <alignment horizontal="center" vertical="center"/>
    </xf>
    <xf numFmtId="0" fontId="29" fillId="27" borderId="0" xfId="0" applyFont="1" applyFill="1" applyAlignment="1">
      <alignment horizontal="center"/>
    </xf>
    <xf numFmtId="0" fontId="26" fillId="27" borderId="0" xfId="0" applyFont="1" applyFill="1"/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0" fontId="31" fillId="28" borderId="24" xfId="0" applyFont="1" applyFill="1" applyBorder="1" applyAlignment="1" applyProtection="1">
      <alignment horizontal="center" vertical="center"/>
    </xf>
    <xf numFmtId="0" fontId="31" fillId="0" borderId="27" xfId="0" applyFont="1" applyFill="1" applyBorder="1" applyAlignment="1" applyProtection="1">
      <alignment horizontal="center" vertical="center"/>
    </xf>
    <xf numFmtId="0" fontId="31" fillId="0" borderId="0" xfId="0" applyFont="1" applyFill="1" applyBorder="1" applyProtection="1"/>
    <xf numFmtId="0" fontId="31" fillId="0" borderId="0" xfId="0" applyFont="1" applyFill="1" applyBorder="1" applyAlignment="1" applyProtection="1">
      <alignment horizontal="center"/>
    </xf>
    <xf numFmtId="0" fontId="30" fillId="0" borderId="0" xfId="0" applyFont="1" applyFill="1" applyProtection="1"/>
    <xf numFmtId="165" fontId="30" fillId="0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Protection="1"/>
    <xf numFmtId="165" fontId="41" fillId="0" borderId="13" xfId="508" applyNumberFormat="1" applyFont="1" applyFill="1" applyBorder="1" applyAlignment="1" applyProtection="1">
      <alignment horizontal="center" vertical="center" wrapText="1"/>
    </xf>
    <xf numFmtId="165" fontId="29" fillId="0" borderId="13" xfId="508" applyNumberFormat="1" applyFont="1" applyFill="1" applyBorder="1" applyAlignment="1" applyProtection="1">
      <alignment horizontal="center" vertical="center" wrapText="1"/>
    </xf>
    <xf numFmtId="164" fontId="29" fillId="0" borderId="0" xfId="508" applyNumberFormat="1" applyFont="1" applyFill="1" applyProtection="1"/>
    <xf numFmtId="164" fontId="30" fillId="0" borderId="13" xfId="508" applyNumberFormat="1" applyFont="1" applyBorder="1" applyAlignment="1" applyProtection="1">
      <alignment horizontal="center" vertical="center" wrapText="1"/>
    </xf>
    <xf numFmtId="165" fontId="29" fillId="27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 wrapText="1"/>
    </xf>
    <xf numFmtId="165" fontId="30" fillId="24" borderId="13" xfId="508" applyNumberFormat="1" applyFont="1" applyFill="1" applyBorder="1" applyAlignment="1" applyProtection="1">
      <alignment horizontal="center" vertical="center" wrapText="1"/>
    </xf>
    <xf numFmtId="165" fontId="30" fillId="27" borderId="13" xfId="508" applyNumberFormat="1" applyFont="1" applyFill="1" applyBorder="1" applyAlignment="1" applyProtection="1">
      <alignment horizontal="center" vertical="center" wrapText="1"/>
    </xf>
    <xf numFmtId="165" fontId="30" fillId="30" borderId="13" xfId="508" applyNumberFormat="1" applyFont="1" applyFill="1" applyBorder="1" applyAlignment="1" applyProtection="1">
      <alignment horizontal="center" vertical="center" wrapText="1"/>
    </xf>
    <xf numFmtId="165" fontId="29" fillId="28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/>
    </xf>
    <xf numFmtId="165" fontId="41" fillId="24" borderId="13" xfId="508" applyNumberFormat="1" applyFont="1" applyFill="1" applyBorder="1" applyAlignment="1" applyProtection="1">
      <alignment horizontal="center" vertical="center" wrapText="1"/>
    </xf>
    <xf numFmtId="43" fontId="30" fillId="0" borderId="13" xfId="508" applyFont="1" applyBorder="1" applyAlignment="1" applyProtection="1">
      <alignment horizontal="center" vertical="center" wrapText="1"/>
    </xf>
    <xf numFmtId="43" fontId="30" fillId="0" borderId="13" xfId="508" applyFont="1" applyFill="1" applyBorder="1" applyAlignment="1" applyProtection="1">
      <alignment horizontal="center" vertical="center" wrapText="1"/>
    </xf>
    <xf numFmtId="43" fontId="30" fillId="0" borderId="13" xfId="508" applyNumberFormat="1" applyFont="1" applyFill="1" applyBorder="1" applyAlignment="1" applyProtection="1">
      <alignment horizontal="center" vertical="center" wrapText="1"/>
    </xf>
    <xf numFmtId="43" fontId="30" fillId="24" borderId="13" xfId="508" applyNumberFormat="1" applyFont="1" applyFill="1" applyBorder="1" applyAlignment="1" applyProtection="1">
      <alignment horizontal="center" vertical="center" wrapText="1"/>
    </xf>
    <xf numFmtId="165" fontId="42" fillId="28" borderId="13" xfId="508" applyNumberFormat="1" applyFont="1" applyFill="1" applyBorder="1" applyAlignment="1" applyProtection="1">
      <alignment horizontal="center" vertical="center" wrapText="1"/>
    </xf>
    <xf numFmtId="167" fontId="30" fillId="0" borderId="13" xfId="508" applyNumberFormat="1" applyFont="1" applyFill="1" applyBorder="1" applyAlignment="1" applyProtection="1">
      <alignment horizontal="center" vertical="center" wrapText="1"/>
    </xf>
    <xf numFmtId="43" fontId="31" fillId="24" borderId="13" xfId="508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Alignment="1" applyProtection="1">
      <alignment horizontal="center" wrapText="1"/>
    </xf>
    <xf numFmtId="164" fontId="30" fillId="0" borderId="13" xfId="508" applyNumberFormat="1" applyFont="1" applyFill="1" applyBorder="1" applyAlignment="1" applyProtection="1">
      <alignment horizontal="center" wrapText="1"/>
    </xf>
    <xf numFmtId="164" fontId="31" fillId="24" borderId="13" xfId="508" applyNumberFormat="1" applyFont="1" applyFill="1" applyBorder="1" applyAlignment="1" applyProtection="1">
      <alignment horizontal="center" wrapText="1"/>
    </xf>
    <xf numFmtId="165" fontId="30" fillId="24" borderId="13" xfId="872" applyNumberFormat="1" applyFont="1" applyFill="1" applyBorder="1" applyAlignment="1" applyProtection="1">
      <alignment horizontal="center" vertical="center" wrapText="1"/>
    </xf>
    <xf numFmtId="164" fontId="31" fillId="24" borderId="28" xfId="508" applyNumberFormat="1" applyFont="1" applyFill="1" applyBorder="1" applyAlignment="1" applyProtection="1">
      <alignment horizontal="center" wrapText="1"/>
    </xf>
    <xf numFmtId="0" fontId="28" fillId="0" borderId="0" xfId="0" applyFont="1" applyBorder="1" applyProtection="1"/>
    <xf numFmtId="0" fontId="30" fillId="0" borderId="0" xfId="0" applyFont="1" applyProtection="1"/>
    <xf numFmtId="164" fontId="30" fillId="0" borderId="0" xfId="0" applyNumberFormat="1" applyFont="1" applyProtection="1"/>
    <xf numFmtId="164" fontId="30" fillId="0" borderId="0" xfId="0" applyNumberFormat="1" applyFont="1" applyFill="1" applyProtection="1"/>
    <xf numFmtId="164" fontId="30" fillId="0" borderId="0" xfId="508" applyNumberFormat="1" applyFont="1" applyFill="1" applyBorder="1" applyProtection="1"/>
    <xf numFmtId="0" fontId="30" fillId="0" borderId="0" xfId="0" applyFont="1" applyBorder="1" applyProtection="1"/>
    <xf numFmtId="165" fontId="30" fillId="0" borderId="0" xfId="508" applyNumberFormat="1" applyFont="1" applyFill="1" applyBorder="1" applyAlignment="1" applyProtection="1">
      <alignment horizontal="center" vertical="center" wrapText="1"/>
    </xf>
    <xf numFmtId="165" fontId="30" fillId="0" borderId="0" xfId="0" applyNumberFormat="1" applyFont="1" applyProtection="1"/>
    <xf numFmtId="165" fontId="33" fillId="0" borderId="13" xfId="508" applyNumberFormat="1" applyFont="1" applyFill="1" applyBorder="1" applyAlignment="1" applyProtection="1">
      <alignment horizontal="center" vertical="center" wrapText="1"/>
    </xf>
    <xf numFmtId="165" fontId="30" fillId="25" borderId="13" xfId="508" applyNumberFormat="1" applyFont="1" applyFill="1" applyBorder="1" applyAlignment="1" applyProtection="1">
      <alignment horizontal="center" vertical="center" wrapText="1"/>
    </xf>
    <xf numFmtId="0" fontId="30" fillId="0" borderId="0" xfId="0" quotePrefix="1" applyFont="1" applyBorder="1" applyProtection="1"/>
    <xf numFmtId="164" fontId="31" fillId="24" borderId="17" xfId="508" applyNumberFormat="1" applyFont="1" applyFill="1" applyBorder="1" applyAlignment="1">
      <alignment horizontal="center" wrapText="1"/>
    </xf>
    <xf numFmtId="165" fontId="29" fillId="0" borderId="34" xfId="508" applyNumberFormat="1" applyFont="1" applyFill="1" applyBorder="1" applyAlignment="1">
      <alignment horizontal="center" vertical="center" wrapText="1"/>
    </xf>
    <xf numFmtId="165" fontId="33" fillId="0" borderId="34" xfId="508" applyNumberFormat="1" applyFont="1" applyFill="1" applyBorder="1" applyAlignment="1">
      <alignment horizontal="center" vertical="center" wrapText="1"/>
    </xf>
    <xf numFmtId="165" fontId="30" fillId="0" borderId="34" xfId="508" applyNumberFormat="1" applyFont="1" applyFill="1" applyBorder="1" applyAlignment="1">
      <alignment horizontal="center" vertical="center" wrapText="1"/>
    </xf>
    <xf numFmtId="165" fontId="30" fillId="25" borderId="34" xfId="508" applyNumberFormat="1" applyFont="1" applyFill="1" applyBorder="1" applyAlignment="1">
      <alignment horizontal="center" vertical="center" wrapText="1"/>
    </xf>
    <xf numFmtId="164" fontId="30" fillId="28" borderId="13" xfId="508" applyNumberFormat="1" applyFont="1" applyFill="1" applyBorder="1" applyAlignment="1">
      <alignment horizontal="center" wrapText="1"/>
    </xf>
    <xf numFmtId="164" fontId="29" fillId="0" borderId="13" xfId="508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0" fontId="29" fillId="0" borderId="19" xfId="508" applyNumberFormat="1" applyFont="1" applyFill="1" applyBorder="1" applyAlignment="1">
      <alignment horizontal="center" vertical="center"/>
    </xf>
    <xf numFmtId="10" fontId="28" fillId="0" borderId="43" xfId="508" applyNumberFormat="1" applyFont="1" applyFill="1" applyBorder="1" applyAlignment="1">
      <alignment horizontal="center" vertical="center"/>
    </xf>
    <xf numFmtId="10" fontId="29" fillId="0" borderId="14" xfId="508" applyNumberFormat="1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 vertical="center"/>
    </xf>
    <xf numFmtId="10" fontId="28" fillId="0" borderId="21" xfId="508" applyNumberFormat="1" applyFont="1" applyFill="1" applyBorder="1" applyAlignment="1">
      <alignment horizontal="center" vertical="center"/>
    </xf>
    <xf numFmtId="165" fontId="28" fillId="0" borderId="43" xfId="508" applyNumberFormat="1" applyFont="1" applyFill="1" applyBorder="1" applyAlignment="1">
      <alignment horizontal="center" vertical="center"/>
    </xf>
    <xf numFmtId="9" fontId="28" fillId="0" borderId="43" xfId="508" applyNumberFormat="1" applyFont="1" applyFill="1" applyBorder="1" applyAlignment="1">
      <alignment horizontal="center" vertical="center"/>
    </xf>
    <xf numFmtId="165" fontId="29" fillId="0" borderId="26" xfId="508" applyNumberFormat="1" applyFont="1" applyFill="1" applyBorder="1" applyAlignment="1">
      <alignment horizontal="left" vertical="center" wrapText="1"/>
    </xf>
    <xf numFmtId="165" fontId="29" fillId="0" borderId="14" xfId="508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/>
    </xf>
    <xf numFmtId="165" fontId="28" fillId="24" borderId="13" xfId="508" applyNumberFormat="1" applyFont="1" applyFill="1" applyBorder="1" applyAlignment="1">
      <alignment horizontal="center" vertical="center"/>
    </xf>
    <xf numFmtId="10" fontId="28" fillId="0" borderId="13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165" fontId="28" fillId="0" borderId="13" xfId="508" applyNumberFormat="1" applyFont="1" applyFill="1" applyBorder="1" applyAlignment="1">
      <alignment horizontal="center" vertical="center"/>
    </xf>
    <xf numFmtId="0" fontId="29" fillId="27" borderId="13" xfId="0" applyFont="1" applyFill="1" applyBorder="1" applyAlignment="1">
      <alignment horizontal="center"/>
    </xf>
    <xf numFmtId="9" fontId="28" fillId="0" borderId="13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left" vertical="center" wrapText="1"/>
    </xf>
    <xf numFmtId="0" fontId="29" fillId="0" borderId="34" xfId="0" applyFont="1" applyFill="1" applyBorder="1" applyAlignment="1">
      <alignment horizontal="center"/>
    </xf>
    <xf numFmtId="165" fontId="28" fillId="24" borderId="29" xfId="508" applyNumberFormat="1" applyFont="1" applyFill="1" applyBorder="1" applyAlignment="1">
      <alignment horizontal="center" vertical="center"/>
    </xf>
    <xf numFmtId="165" fontId="28" fillId="24" borderId="27" xfId="508" applyNumberFormat="1" applyFont="1" applyFill="1" applyBorder="1" applyAlignment="1">
      <alignment horizontal="center" vertical="center"/>
    </xf>
    <xf numFmtId="10" fontId="28" fillId="0" borderId="22" xfId="508" applyNumberFormat="1" applyFont="1" applyFill="1" applyBorder="1" applyAlignment="1">
      <alignment horizontal="center" vertical="center"/>
    </xf>
    <xf numFmtId="43" fontId="29" fillId="0" borderId="13" xfId="508" applyFont="1" applyFill="1" applyBorder="1" applyAlignment="1">
      <alignment horizontal="center"/>
    </xf>
    <xf numFmtId="165" fontId="29" fillId="24" borderId="13" xfId="508" applyNumberFormat="1" applyFont="1" applyFill="1" applyBorder="1" applyAlignment="1">
      <alignment horizontal="center" vertical="center" wrapText="1"/>
    </xf>
    <xf numFmtId="43" fontId="30" fillId="30" borderId="13" xfId="508" applyNumberFormat="1" applyFont="1" applyFill="1" applyBorder="1" applyAlignment="1">
      <alignment horizontal="center" vertical="center" wrapText="1"/>
    </xf>
    <xf numFmtId="165" fontId="30" fillId="0" borderId="0" xfId="0" applyNumberFormat="1" applyFont="1" applyAlignment="1">
      <alignment vertical="top"/>
    </xf>
    <xf numFmtId="43" fontId="28" fillId="24" borderId="27" xfId="508" applyNumberFormat="1" applyFont="1" applyFill="1" applyBorder="1" applyAlignment="1">
      <alignment horizontal="center" vertical="center" wrapText="1"/>
    </xf>
    <xf numFmtId="43" fontId="28" fillId="24" borderId="38" xfId="508" applyNumberFormat="1" applyFont="1" applyFill="1" applyBorder="1" applyAlignment="1">
      <alignment horizontal="center" vertical="center" wrapText="1"/>
    </xf>
    <xf numFmtId="43" fontId="28" fillId="24" borderId="29" xfId="508" applyNumberFormat="1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28" fillId="24" borderId="11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37" fontId="28" fillId="24" borderId="31" xfId="508" applyNumberFormat="1" applyFont="1" applyFill="1" applyBorder="1" applyAlignment="1">
      <alignment horizontal="center" vertical="center" wrapText="1"/>
    </xf>
    <xf numFmtId="0" fontId="28" fillId="24" borderId="36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/>
    </xf>
    <xf numFmtId="37" fontId="28" fillId="0" borderId="21" xfId="508" applyNumberFormat="1" applyFont="1" applyFill="1" applyBorder="1" applyAlignment="1">
      <alignment horizontal="right" vertical="center"/>
    </xf>
    <xf numFmtId="165" fontId="28" fillId="24" borderId="29" xfId="508" applyNumberFormat="1" applyFont="1" applyFill="1" applyBorder="1" applyAlignment="1">
      <alignment horizontal="center" vertical="center" wrapText="1"/>
    </xf>
    <xf numFmtId="165" fontId="28" fillId="24" borderId="37" xfId="508" applyNumberFormat="1" applyFont="1" applyFill="1" applyBorder="1" applyAlignment="1">
      <alignment horizontal="center" vertical="center" wrapText="1"/>
    </xf>
    <xf numFmtId="165" fontId="28" fillId="24" borderId="24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43" fontId="28" fillId="24" borderId="26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1" xfId="508" applyNumberFormat="1" applyFont="1" applyFill="1" applyBorder="1" applyAlignment="1">
      <alignment horizontal="center" vertical="center" wrapText="1"/>
    </xf>
    <xf numFmtId="0" fontId="37" fillId="24" borderId="36" xfId="0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164" fontId="31" fillId="0" borderId="13" xfId="508" applyNumberFormat="1" applyFont="1" applyBorder="1" applyAlignment="1">
      <alignment horizontal="center" vertical="top" wrapText="1"/>
    </xf>
    <xf numFmtId="40" fontId="31" fillId="25" borderId="12" xfId="508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0" borderId="12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164" fontId="31" fillId="0" borderId="12" xfId="508" applyNumberFormat="1" applyFont="1" applyBorder="1" applyAlignment="1">
      <alignment horizontal="left" vertical="top" wrapText="1"/>
    </xf>
    <xf numFmtId="164" fontId="28" fillId="0" borderId="12" xfId="508" applyNumberFormat="1" applyFont="1" applyBorder="1" applyAlignment="1">
      <alignment horizontal="left" vertical="top" wrapText="1"/>
    </xf>
    <xf numFmtId="164" fontId="31" fillId="0" borderId="16" xfId="508" applyNumberFormat="1" applyFont="1" applyBorder="1" applyAlignment="1">
      <alignment horizontal="left" vertical="top" wrapText="1"/>
    </xf>
    <xf numFmtId="38" fontId="31" fillId="0" borderId="12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164" fontId="31" fillId="0" borderId="12" xfId="508" applyNumberFormat="1" applyFont="1" applyFill="1" applyBorder="1" applyAlignment="1">
      <alignment horizontal="left" vertical="top" wrapText="1"/>
    </xf>
    <xf numFmtId="43" fontId="31" fillId="0" borderId="12" xfId="508" applyFont="1" applyBorder="1" applyAlignment="1">
      <alignment horizontal="left" vertical="top" wrapText="1"/>
    </xf>
    <xf numFmtId="164" fontId="31" fillId="0" borderId="16" xfId="508" applyNumberFormat="1" applyFont="1" applyFill="1" applyBorder="1" applyAlignment="1">
      <alignment horizontal="left" vertical="top" wrapText="1"/>
    </xf>
    <xf numFmtId="164" fontId="31" fillId="0" borderId="39" xfId="508" applyNumberFormat="1" applyFont="1" applyFill="1" applyBorder="1" applyAlignment="1">
      <alignment horizontal="left" vertical="top" wrapText="1"/>
    </xf>
    <xf numFmtId="164" fontId="31" fillId="0" borderId="40" xfId="508" applyNumberFormat="1" applyFont="1" applyFill="1" applyBorder="1" applyAlignment="1">
      <alignment horizontal="left" vertical="top" wrapText="1"/>
    </xf>
    <xf numFmtId="38" fontId="28" fillId="0" borderId="12" xfId="508" applyNumberFormat="1" applyFont="1" applyBorder="1" applyAlignment="1">
      <alignment horizontal="left" vertical="top" wrapText="1"/>
    </xf>
    <xf numFmtId="38" fontId="28" fillId="0" borderId="12" xfId="508" applyNumberFormat="1" applyFont="1" applyFill="1" applyBorder="1" applyAlignment="1">
      <alignment horizontal="left" vertical="top" wrapText="1"/>
    </xf>
    <xf numFmtId="38" fontId="31" fillId="25" borderId="12" xfId="0" applyNumberFormat="1" applyFont="1" applyFill="1" applyBorder="1" applyAlignment="1">
      <alignment horizontal="left" vertical="center" wrapText="1"/>
    </xf>
    <xf numFmtId="38" fontId="31" fillId="25" borderId="13" xfId="0" applyNumberFormat="1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164" fontId="31" fillId="0" borderId="13" xfId="508" applyNumberFormat="1" applyFont="1" applyFill="1" applyBorder="1" applyAlignment="1">
      <alignment horizontal="left"/>
    </xf>
    <xf numFmtId="164" fontId="31" fillId="0" borderId="12" xfId="508" applyNumberFormat="1" applyFont="1" applyFill="1" applyBorder="1" applyAlignment="1">
      <alignment horizontal="left"/>
    </xf>
    <xf numFmtId="164" fontId="31" fillId="0" borderId="12" xfId="508" applyNumberFormat="1" applyFont="1" applyBorder="1" applyAlignment="1" applyProtection="1">
      <alignment horizontal="left" vertical="top" wrapText="1"/>
    </xf>
    <xf numFmtId="0" fontId="31" fillId="0" borderId="29" xfId="0" applyFont="1" applyFill="1" applyBorder="1" applyAlignment="1" applyProtection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164" fontId="31" fillId="0" borderId="13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 vertical="top" wrapText="1"/>
    </xf>
    <xf numFmtId="43" fontId="31" fillId="0" borderId="12" xfId="508" applyFont="1" applyBorder="1" applyAlignment="1" applyProtection="1">
      <alignment horizontal="left" vertical="top" wrapText="1"/>
    </xf>
    <xf numFmtId="164" fontId="31" fillId="0" borderId="16" xfId="508" applyNumberFormat="1" applyFont="1" applyFill="1" applyBorder="1" applyAlignment="1" applyProtection="1">
      <alignment horizontal="left" vertical="top" wrapText="1"/>
    </xf>
    <xf numFmtId="164" fontId="31" fillId="0" borderId="39" xfId="508" applyNumberFormat="1" applyFont="1" applyFill="1" applyBorder="1" applyAlignment="1" applyProtection="1">
      <alignment horizontal="left" vertical="top" wrapText="1"/>
    </xf>
    <xf numFmtId="164" fontId="31" fillId="0" borderId="40" xfId="508" applyNumberFormat="1" applyFont="1" applyFill="1" applyBorder="1" applyAlignment="1" applyProtection="1">
      <alignment horizontal="left" vertical="top" wrapText="1"/>
    </xf>
    <xf numFmtId="38" fontId="28" fillId="0" borderId="12" xfId="508" applyNumberFormat="1" applyFont="1" applyBorder="1" applyAlignment="1" applyProtection="1">
      <alignment horizontal="left" vertical="top" wrapText="1"/>
    </xf>
    <xf numFmtId="164" fontId="31" fillId="0" borderId="37" xfId="508" applyNumberFormat="1" applyFont="1" applyBorder="1" applyAlignment="1" applyProtection="1">
      <alignment horizontal="left" vertical="top" wrapText="1"/>
    </xf>
    <xf numFmtId="38" fontId="28" fillId="0" borderId="12" xfId="508" applyNumberFormat="1" applyFont="1" applyFill="1" applyBorder="1" applyAlignment="1" applyProtection="1">
      <alignment horizontal="left" vertical="top" wrapText="1"/>
    </xf>
    <xf numFmtId="38" fontId="31" fillId="25" borderId="12" xfId="0" applyNumberFormat="1" applyFont="1" applyFill="1" applyBorder="1" applyAlignment="1" applyProtection="1">
      <alignment horizontal="left" vertical="center" wrapText="1"/>
    </xf>
    <xf numFmtId="38" fontId="31" fillId="25" borderId="13" xfId="0" applyNumberFormat="1" applyFont="1" applyFill="1" applyBorder="1" applyAlignment="1" applyProtection="1">
      <alignment horizontal="left" vertical="center" wrapText="1"/>
    </xf>
    <xf numFmtId="38" fontId="31" fillId="0" borderId="12" xfId="0" applyNumberFormat="1" applyFont="1" applyFill="1" applyBorder="1" applyAlignment="1" applyProtection="1">
      <alignment horizontal="left" vertical="center" wrapText="1"/>
    </xf>
    <xf numFmtId="38" fontId="31" fillId="0" borderId="13" xfId="0" applyNumberFormat="1" applyFont="1" applyFill="1" applyBorder="1" applyAlignment="1" applyProtection="1">
      <alignment horizontal="left" vertical="center" wrapText="1"/>
    </xf>
    <xf numFmtId="40" fontId="31" fillId="25" borderId="12" xfId="508" applyNumberFormat="1" applyFont="1" applyFill="1" applyBorder="1" applyAlignment="1" applyProtection="1">
      <alignment horizontal="left" vertical="center" wrapText="1"/>
    </xf>
    <xf numFmtId="40" fontId="31" fillId="25" borderId="13" xfId="508" applyNumberFormat="1" applyFont="1" applyFill="1" applyBorder="1" applyAlignment="1" applyProtection="1">
      <alignment horizontal="left" vertical="center" wrapText="1"/>
    </xf>
    <xf numFmtId="40" fontId="31" fillId="0" borderId="12" xfId="508" applyNumberFormat="1" applyFont="1" applyFill="1" applyBorder="1" applyAlignment="1" applyProtection="1">
      <alignment horizontal="left" vertical="center" wrapText="1"/>
    </xf>
    <xf numFmtId="40" fontId="31" fillId="0" borderId="13" xfId="508" applyNumberFormat="1" applyFont="1" applyFill="1" applyBorder="1" applyAlignment="1" applyProtection="1">
      <alignment horizontal="left" vertical="center" wrapText="1"/>
    </xf>
    <xf numFmtId="0" fontId="31" fillId="0" borderId="12" xfId="0" applyFont="1" applyBorder="1" applyAlignment="1" applyProtection="1">
      <alignment horizontal="left" vertical="center" wrapText="1"/>
    </xf>
    <xf numFmtId="0" fontId="31" fillId="0" borderId="13" xfId="0" applyFont="1" applyBorder="1" applyAlignment="1" applyProtection="1">
      <alignment horizontal="left" vertical="center" wrapText="1"/>
    </xf>
    <xf numFmtId="164" fontId="28" fillId="0" borderId="12" xfId="508" applyNumberFormat="1" applyFont="1" applyBorder="1" applyAlignment="1" applyProtection="1">
      <alignment horizontal="left" vertical="top" wrapText="1"/>
    </xf>
    <xf numFmtId="164" fontId="31" fillId="0" borderId="37" xfId="508" applyNumberFormat="1" applyFont="1" applyBorder="1" applyAlignment="1">
      <alignment horizontal="left" vertical="top" wrapText="1"/>
    </xf>
    <xf numFmtId="164" fontId="31" fillId="0" borderId="12" xfId="508" applyNumberFormat="1" applyFont="1" applyBorder="1" applyAlignment="1" applyProtection="1">
      <alignment horizontal="left" vertical="top" wrapText="1"/>
      <protection locked="0"/>
    </xf>
    <xf numFmtId="164" fontId="31" fillId="0" borderId="37" xfId="508" applyNumberFormat="1" applyFont="1" applyBorder="1" applyAlignment="1" applyProtection="1">
      <alignment horizontal="left" vertical="top" wrapText="1"/>
      <protection locked="0"/>
    </xf>
    <xf numFmtId="38" fontId="28" fillId="0" borderId="12" xfId="508" applyNumberFormat="1" applyFont="1" applyBorder="1" applyAlignment="1" applyProtection="1">
      <alignment horizontal="left" vertical="top" wrapText="1"/>
      <protection locked="0"/>
    </xf>
    <xf numFmtId="38" fontId="28" fillId="0" borderId="12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3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3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2" xfId="0" applyFont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164" fontId="28" fillId="0" borderId="12" xfId="508" applyNumberFormat="1" applyFont="1" applyBorder="1" applyAlignment="1" applyProtection="1">
      <alignment horizontal="left" vertical="top" wrapText="1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164" fontId="31" fillId="0" borderId="13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2" xfId="508" applyFont="1" applyBorder="1" applyAlignment="1" applyProtection="1">
      <alignment horizontal="left" vertical="top" wrapText="1"/>
      <protection locked="0"/>
    </xf>
    <xf numFmtId="164" fontId="31" fillId="0" borderId="16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39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0" xfId="508" applyNumberFormat="1" applyFont="1" applyFill="1" applyBorder="1" applyAlignment="1" applyProtection="1">
      <alignment horizontal="left" vertical="top" wrapText="1"/>
      <protection locked="0"/>
    </xf>
    <xf numFmtId="0" fontId="26" fillId="0" borderId="13" xfId="669" applyFont="1" applyBorder="1" applyAlignment="1">
      <alignment horizontal="left" vertical="center" wrapText="1"/>
    </xf>
    <xf numFmtId="164" fontId="26" fillId="0" borderId="13" xfId="869" applyNumberFormat="1" applyFont="1" applyBorder="1" applyAlignment="1">
      <alignment horizontal="left" vertical="top" wrapText="1"/>
    </xf>
    <xf numFmtId="0" fontId="26" fillId="0" borderId="13" xfId="869" applyFont="1" applyBorder="1" applyAlignment="1">
      <alignment horizontal="left" vertical="top" wrapText="1"/>
    </xf>
    <xf numFmtId="38" fontId="26" fillId="0" borderId="13" xfId="669" applyNumberFormat="1" applyFont="1" applyBorder="1" applyAlignment="1">
      <alignment horizontal="left" vertical="center" wrapText="1"/>
    </xf>
    <xf numFmtId="40" fontId="26" fillId="0" borderId="13" xfId="869" applyNumberFormat="1" applyFont="1" applyBorder="1" applyAlignment="1">
      <alignment horizontal="left" vertical="center" wrapText="1"/>
    </xf>
    <xf numFmtId="164" fontId="26" fillId="0" borderId="17" xfId="869" applyNumberFormat="1" applyFont="1" applyBorder="1" applyAlignment="1">
      <alignment horizontal="left" vertical="top" wrapText="1"/>
    </xf>
    <xf numFmtId="164" fontId="26" fillId="0" borderId="30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0" fontId="27" fillId="29" borderId="13" xfId="669" applyFont="1" applyFill="1" applyBorder="1" applyAlignment="1">
      <alignment horizontal="center" vertical="center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December,</a:t>
            </a:r>
            <a:r>
              <a:rPr lang="en-US"/>
              <a:t> 2014)</a:t>
            </a:r>
          </a:p>
        </c:rich>
      </c:tx>
      <c:layout/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gapWidth val="75"/>
        <c:shape val="box"/>
        <c:axId val="100063872"/>
        <c:axId val="100073856"/>
        <c:axId val="0"/>
      </c:bar3DChart>
      <c:catAx>
        <c:axId val="1000638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73856"/>
        <c:crosses val="autoZero"/>
        <c:auto val="1"/>
        <c:lblAlgn val="ctr"/>
        <c:lblOffset val="100"/>
      </c:catAx>
      <c:valAx>
        <c:axId val="100073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06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858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</c:ser>
        <c:dLbls>
          <c:showVal val="1"/>
        </c:dLbls>
        <c:marker val="1"/>
        <c:axId val="105233792"/>
        <c:axId val="107349120"/>
      </c:lineChart>
      <c:catAx>
        <c:axId val="105233792"/>
        <c:scaling>
          <c:orientation val="minMax"/>
        </c:scaling>
        <c:axPos val="b"/>
        <c:numFmt formatCode="General" sourceLinked="0"/>
        <c:majorTickMark val="none"/>
        <c:tickLblPos val="nextTo"/>
        <c:crossAx val="107349120"/>
        <c:crosses val="autoZero"/>
        <c:auto val="1"/>
        <c:lblAlgn val="ctr"/>
        <c:lblOffset val="100"/>
      </c:catAx>
      <c:valAx>
        <c:axId val="1073491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0523379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lineChart>
        <c:grouping val="stacked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</c:ser>
        <c:dLbls>
          <c:showVal val="1"/>
        </c:dLbls>
        <c:marker val="1"/>
        <c:axId val="107385984"/>
        <c:axId val="107387520"/>
      </c:lineChart>
      <c:catAx>
        <c:axId val="107385984"/>
        <c:scaling>
          <c:orientation val="minMax"/>
        </c:scaling>
        <c:axPos val="b"/>
        <c:numFmt formatCode="General" sourceLinked="0"/>
        <c:majorTickMark val="none"/>
        <c:tickLblPos val="nextTo"/>
        <c:crossAx val="107387520"/>
        <c:crosses val="autoZero"/>
        <c:auto val="1"/>
        <c:lblAlgn val="ctr"/>
        <c:lblOffset val="100"/>
      </c:catAx>
      <c:valAx>
        <c:axId val="107387520"/>
        <c:scaling>
          <c:orientation val="minMax"/>
        </c:scaling>
        <c:delete val="1"/>
        <c:axPos val="l"/>
        <c:numFmt formatCode="General" sourceLinked="1"/>
        <c:tickLblPos val="none"/>
        <c:crossAx val="107385984"/>
        <c:crosses val="autoZero"/>
        <c:crossBetween val="between"/>
      </c:valAx>
    </c:plotArea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</c:ser>
        <c:dLbls>
          <c:showVal val="1"/>
        </c:dLbls>
        <c:marker val="1"/>
        <c:axId val="107508480"/>
        <c:axId val="107510016"/>
      </c:lineChart>
      <c:catAx>
        <c:axId val="107508480"/>
        <c:scaling>
          <c:orientation val="minMax"/>
        </c:scaling>
        <c:axPos val="b"/>
        <c:numFmt formatCode="General" sourceLinked="0"/>
        <c:majorTickMark val="none"/>
        <c:tickLblPos val="nextTo"/>
        <c:crossAx val="107510016"/>
        <c:crosses val="autoZero"/>
        <c:auto val="1"/>
        <c:lblAlgn val="ctr"/>
        <c:lblOffset val="100"/>
      </c:catAx>
      <c:valAx>
        <c:axId val="10751001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750848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</c:ser>
        <c:marker val="1"/>
        <c:axId val="107539840"/>
        <c:axId val="107418752"/>
      </c:lineChart>
      <c:catAx>
        <c:axId val="107539840"/>
        <c:scaling>
          <c:orientation val="minMax"/>
        </c:scaling>
        <c:axPos val="b"/>
        <c:numFmt formatCode="General" sourceLinked="0"/>
        <c:majorTickMark val="none"/>
        <c:tickLblPos val="nextTo"/>
        <c:crossAx val="107418752"/>
        <c:crosses val="autoZero"/>
        <c:auto val="1"/>
        <c:lblAlgn val="ctr"/>
        <c:lblOffset val="100"/>
      </c:catAx>
      <c:valAx>
        <c:axId val="107418752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753984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</c:ser>
        <c:dLbls>
          <c:showVal val="1"/>
        </c:dLbls>
        <c:marker val="1"/>
        <c:axId val="107472000"/>
        <c:axId val="107473536"/>
      </c:lineChart>
      <c:catAx>
        <c:axId val="107472000"/>
        <c:scaling>
          <c:orientation val="minMax"/>
        </c:scaling>
        <c:axPos val="b"/>
        <c:numFmt formatCode="General" sourceLinked="0"/>
        <c:majorTickMark val="none"/>
        <c:tickLblPos val="nextTo"/>
        <c:crossAx val="107473536"/>
        <c:crosses val="autoZero"/>
        <c:auto val="1"/>
        <c:lblAlgn val="ctr"/>
        <c:lblOffset val="100"/>
      </c:catAx>
      <c:valAx>
        <c:axId val="10747353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7472000"/>
        <c:crosses val="autoZero"/>
        <c:crossBetween val="between"/>
      </c:valAx>
    </c:plotArea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</c:ser>
        <c:dLbls>
          <c:showVal val="1"/>
        </c:dLbls>
        <c:marker val="1"/>
        <c:axId val="107555072"/>
        <c:axId val="107573248"/>
      </c:lineChart>
      <c:catAx>
        <c:axId val="107555072"/>
        <c:scaling>
          <c:orientation val="minMax"/>
        </c:scaling>
        <c:axPos val="b"/>
        <c:numFmt formatCode="General" sourceLinked="0"/>
        <c:majorTickMark val="none"/>
        <c:tickLblPos val="nextTo"/>
        <c:crossAx val="107573248"/>
        <c:crosses val="autoZero"/>
        <c:auto val="1"/>
        <c:lblAlgn val="ctr"/>
        <c:lblOffset val="100"/>
      </c:catAx>
      <c:valAx>
        <c:axId val="10757324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07555072"/>
        <c:crosses val="autoZero"/>
        <c:crossBetween val="between"/>
      </c:valAx>
    </c:plotArea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</a:t>
            </a:r>
            <a:r>
              <a:rPr lang="en-US" sz="1600" baseline="0"/>
              <a:t> December</a:t>
            </a:r>
            <a:r>
              <a:rPr lang="en-US" sz="1600"/>
              <a:t>, 2014)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286</c:v>
                </c:pt>
                <c:pt idx="1">
                  <c:v>559</c:v>
                </c:pt>
                <c:pt idx="2">
                  <c:v>694</c:v>
                </c:pt>
                <c:pt idx="3">
                  <c:v>1819</c:v>
                </c:pt>
                <c:pt idx="4">
                  <c:v>181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gapWidth val="75"/>
        <c:overlap val="-25"/>
        <c:axId val="100120064"/>
        <c:axId val="100121600"/>
      </c:barChart>
      <c:catAx>
        <c:axId val="1001200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121600"/>
        <c:crosses val="autoZero"/>
        <c:auto val="1"/>
        <c:lblAlgn val="ctr"/>
        <c:lblOffset val="100"/>
      </c:catAx>
      <c:valAx>
        <c:axId val="100121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12006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at</a:t>
            </a:r>
            <a:r>
              <a:rPr lang="en-US" baseline="0"/>
              <a:t> December</a:t>
            </a:r>
            <a:r>
              <a:rPr lang="en-US"/>
              <a:t>, 2014)  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41.389059815203069</c:v>
                </c:pt>
                <c:pt idx="1">
                  <c:v>51.625373563948216</c:v>
                </c:pt>
                <c:pt idx="2">
                  <c:v>42.648183003070791</c:v>
                </c:pt>
                <c:pt idx="3">
                  <c:v>50.511474718385479</c:v>
                </c:pt>
                <c:pt idx="4">
                  <c:v>74.432979743205493</c:v>
                </c:pt>
                <c:pt idx="5">
                  <c:v>72.547740870447399</c:v>
                </c:pt>
                <c:pt idx="6">
                  <c:v>5.5268494179179246</c:v>
                </c:pt>
                <c:pt idx="7">
                  <c:v>48.028046743693793</c:v>
                </c:pt>
              </c:numCache>
            </c:numRef>
          </c:val>
        </c:ser>
        <c:axId val="100137600"/>
        <c:axId val="100737408"/>
      </c:barChart>
      <c:catAx>
        <c:axId val="100137600"/>
        <c:scaling>
          <c:orientation val="maxMin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0737408"/>
        <c:crosses val="autoZero"/>
        <c:auto val="1"/>
        <c:lblAlgn val="ctr"/>
        <c:lblOffset val="100"/>
      </c:catAx>
      <c:valAx>
        <c:axId val="100737408"/>
        <c:scaling>
          <c:orientation val="minMax"/>
        </c:scaling>
        <c:axPos val="r"/>
        <c:majorGridlines/>
        <c:numFmt formatCode="_(* #,##0.0_);_(* \(#,##0.0\);_(* &quot;-&quot;??_);_(@_)" sourceLinked="1"/>
        <c:maj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1001376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121</c:v>
                </c:pt>
              </c:numCache>
            </c:numRef>
          </c:val>
        </c:ser>
        <c:dLbls>
          <c:showVal val="1"/>
        </c:dLbls>
        <c:marker val="1"/>
        <c:axId val="104760064"/>
        <c:axId val="104761600"/>
      </c:lineChart>
      <c:catAx>
        <c:axId val="104760064"/>
        <c:scaling>
          <c:orientation val="minMax"/>
        </c:scaling>
        <c:axPos val="b"/>
        <c:numFmt formatCode="General" sourceLinked="0"/>
        <c:majorTickMark val="none"/>
        <c:tickLblPos val="nextTo"/>
        <c:crossAx val="104761600"/>
        <c:crosses val="autoZero"/>
        <c:auto val="1"/>
        <c:lblAlgn val="ctr"/>
        <c:lblOffset val="100"/>
      </c:catAx>
      <c:valAx>
        <c:axId val="10476160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04760064"/>
        <c:crosses val="autoZero"/>
        <c:crossBetween val="between"/>
      </c:valAx>
    </c:plotArea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3648</c:v>
                </c:pt>
              </c:numCache>
            </c:numRef>
          </c:val>
        </c:ser>
        <c:dLbls>
          <c:showVal val="1"/>
        </c:dLbls>
        <c:marker val="1"/>
        <c:axId val="104744832"/>
        <c:axId val="104746368"/>
      </c:lineChart>
      <c:catAx>
        <c:axId val="104744832"/>
        <c:scaling>
          <c:orientation val="minMax"/>
        </c:scaling>
        <c:axPos val="b"/>
        <c:numFmt formatCode="General" sourceLinked="0"/>
        <c:majorTickMark val="none"/>
        <c:tickLblPos val="nextTo"/>
        <c:crossAx val="104746368"/>
        <c:crosses val="autoZero"/>
        <c:auto val="1"/>
        <c:lblAlgn val="ctr"/>
        <c:lblOffset val="100"/>
      </c:catAx>
      <c:valAx>
        <c:axId val="1047463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04744832"/>
        <c:crosses val="autoZero"/>
        <c:crossBetween val="between"/>
      </c:valAx>
    </c:plotArea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5.9938880000000001</c:v>
                </c:pt>
              </c:numCache>
            </c:numRef>
          </c:val>
        </c:ser>
        <c:dLbls>
          <c:showVal val="1"/>
        </c:dLbls>
        <c:marker val="1"/>
        <c:axId val="104999936"/>
        <c:axId val="105034496"/>
      </c:lineChart>
      <c:catAx>
        <c:axId val="104999936"/>
        <c:scaling>
          <c:orientation val="minMax"/>
        </c:scaling>
        <c:axPos val="b"/>
        <c:numFmt formatCode="General" sourceLinked="0"/>
        <c:majorTickMark val="none"/>
        <c:tickLblPos val="nextTo"/>
        <c:crossAx val="105034496"/>
        <c:crosses val="autoZero"/>
        <c:auto val="1"/>
        <c:lblAlgn val="ctr"/>
        <c:lblOffset val="100"/>
      </c:catAx>
      <c:valAx>
        <c:axId val="1050344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one"/>
        <c:crossAx val="104999936"/>
        <c:crosses val="autoZero"/>
        <c:crossBetween val="between"/>
      </c:valAx>
    </c:plotArea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</c:ser>
        <c:dLbls>
          <c:showVal val="1"/>
        </c:dLbls>
        <c:marker val="1"/>
        <c:axId val="105074688"/>
        <c:axId val="105076224"/>
      </c:lineChart>
      <c:catAx>
        <c:axId val="105074688"/>
        <c:scaling>
          <c:orientation val="minMax"/>
        </c:scaling>
        <c:axPos val="b"/>
        <c:numFmt formatCode="General" sourceLinked="0"/>
        <c:majorTickMark val="none"/>
        <c:tickLblPos val="nextTo"/>
        <c:crossAx val="105076224"/>
        <c:crosses val="autoZero"/>
        <c:auto val="1"/>
        <c:lblAlgn val="ctr"/>
        <c:lblOffset val="100"/>
      </c:catAx>
      <c:valAx>
        <c:axId val="10507622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0507468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</c:ser>
        <c:dLbls>
          <c:showVal val="1"/>
        </c:dLbls>
        <c:marker val="1"/>
        <c:axId val="100404608"/>
        <c:axId val="100418688"/>
      </c:lineChart>
      <c:catAx>
        <c:axId val="100404608"/>
        <c:scaling>
          <c:orientation val="minMax"/>
        </c:scaling>
        <c:axPos val="b"/>
        <c:numFmt formatCode="General" sourceLinked="0"/>
        <c:majorTickMark val="none"/>
        <c:tickLblPos val="nextTo"/>
        <c:crossAx val="100418688"/>
        <c:crosses val="autoZero"/>
        <c:auto val="1"/>
        <c:lblAlgn val="ctr"/>
        <c:lblOffset val="100"/>
      </c:catAx>
      <c:valAx>
        <c:axId val="10041868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0040460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61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3.864734299516958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</c:ser>
        <c:dLbls>
          <c:showVal val="1"/>
        </c:dLbls>
        <c:marker val="1"/>
        <c:axId val="100441472"/>
        <c:axId val="105202816"/>
      </c:lineChart>
      <c:catAx>
        <c:axId val="100441472"/>
        <c:scaling>
          <c:orientation val="minMax"/>
        </c:scaling>
        <c:axPos val="b"/>
        <c:numFmt formatCode="General" sourceLinked="0"/>
        <c:majorTickMark val="none"/>
        <c:tickLblPos val="nextTo"/>
        <c:crossAx val="105202816"/>
        <c:crosses val="autoZero"/>
        <c:auto val="1"/>
        <c:lblAlgn val="ctr"/>
        <c:lblOffset val="100"/>
      </c:catAx>
      <c:valAx>
        <c:axId val="10520281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0044147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KR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D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RS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S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SO%20Profile%20as%20of%20December%20%20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G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%20All%20RSPs%20Outreach_Issue_22%20(June%20%202014)%20(Sent%20to%20RSPs%2018%20Sept%202014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TRDP%20Outreach_Issue_22%20(June%20%202014)%20(Sent%20to%20RSPs%2018%20Sept%20201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GBTI%20All%20RSPs%20Outreach_Issue_22%20(June%20%202014)%20(Sent%20to%20RSPs%2018%20Sept%202014).GB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BT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PRSP%20Outreach_Issue_19_As_of_June_2014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SRSO%20RSPs%20Outreach_Issue_22%20(June%20%202014)%20(Sent%20to%20RSPs%2018%20Sept%202014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SRSP%20Outreach_Issue_22%20(June%20%202014)%20(S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RS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s%20Outreach_Issue_23%20(September%20%202014)%20(Sent%20to%20RSPs%205-12-1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RS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Outreach_Issue_21%20(March%20%202014)%20SRSP%20send%20to%20RSPN%20after%20correction%20July%201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0">
          <cell r="E50">
            <v>24</v>
          </cell>
          <cell r="I50">
            <v>378</v>
          </cell>
          <cell r="L50">
            <v>34914</v>
          </cell>
          <cell r="P50">
            <v>1680</v>
          </cell>
          <cell r="S50" t="str">
            <v>Yes</v>
          </cell>
        </row>
        <row r="181">
          <cell r="E181">
            <v>8</v>
          </cell>
          <cell r="I181">
            <v>44</v>
          </cell>
          <cell r="L181">
            <v>7618</v>
          </cell>
          <cell r="P181">
            <v>333</v>
          </cell>
          <cell r="S181" t="str">
            <v>Yes</v>
          </cell>
        </row>
        <row r="183">
          <cell r="E183">
            <v>14</v>
          </cell>
          <cell r="I183">
            <v>56</v>
          </cell>
          <cell r="L183">
            <v>10634</v>
          </cell>
          <cell r="P183">
            <v>469</v>
          </cell>
          <cell r="S183" t="str">
            <v>Yes</v>
          </cell>
        </row>
        <row r="184">
          <cell r="E184">
            <v>16</v>
          </cell>
          <cell r="I184">
            <v>80</v>
          </cell>
          <cell r="L184">
            <v>11624</v>
          </cell>
          <cell r="P184">
            <v>548</v>
          </cell>
          <cell r="S184" t="str">
            <v>Yes</v>
          </cell>
        </row>
        <row r="185">
          <cell r="E185">
            <v>10</v>
          </cell>
          <cell r="I185">
            <v>56</v>
          </cell>
          <cell r="L185">
            <v>10639</v>
          </cell>
          <cell r="P185">
            <v>434</v>
          </cell>
          <cell r="S185" t="str">
            <v>Yes</v>
          </cell>
        </row>
        <row r="186">
          <cell r="E186">
            <v>15</v>
          </cell>
          <cell r="I186">
            <v>83</v>
          </cell>
          <cell r="L186">
            <v>12966</v>
          </cell>
          <cell r="P186">
            <v>507</v>
          </cell>
          <cell r="S186" t="str">
            <v>Yes</v>
          </cell>
        </row>
        <row r="187">
          <cell r="E187">
            <v>31</v>
          </cell>
          <cell r="I187">
            <v>167</v>
          </cell>
          <cell r="L187">
            <v>25342</v>
          </cell>
          <cell r="P187">
            <v>1093</v>
          </cell>
          <cell r="S187" t="str">
            <v>Yes</v>
          </cell>
        </row>
      </sheetData>
      <sheetData sheetId="2">
        <row r="7">
          <cell r="D7">
            <v>75</v>
          </cell>
        </row>
        <row r="8">
          <cell r="D8">
            <v>2171</v>
          </cell>
        </row>
        <row r="9">
          <cell r="D9">
            <v>2893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50">
          <cell r="D50">
            <v>1243</v>
          </cell>
        </row>
        <row r="53">
          <cell r="D53">
            <v>1</v>
          </cell>
        </row>
        <row r="54">
          <cell r="D54">
            <v>3</v>
          </cell>
        </row>
        <row r="55">
          <cell r="D55">
            <v>4</v>
          </cell>
        </row>
        <row r="56">
          <cell r="D56">
            <v>1</v>
          </cell>
        </row>
        <row r="59">
          <cell r="D59">
            <v>188</v>
          </cell>
        </row>
        <row r="60">
          <cell r="D60">
            <v>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81">
          <cell r="E81">
            <v>30</v>
          </cell>
          <cell r="I81">
            <v>131</v>
          </cell>
          <cell r="L81">
            <v>39081</v>
          </cell>
          <cell r="P81">
            <v>1660</v>
          </cell>
          <cell r="S81" t="str">
            <v>Yes</v>
          </cell>
          <cell r="T81">
            <v>1</v>
          </cell>
        </row>
        <row r="85">
          <cell r="E85">
            <v>12</v>
          </cell>
          <cell r="I85">
            <v>78</v>
          </cell>
          <cell r="L85">
            <v>28530</v>
          </cell>
          <cell r="P85">
            <v>639</v>
          </cell>
          <cell r="S85" t="str">
            <v>Yes</v>
          </cell>
          <cell r="T85">
            <v>1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  <cell r="S100" t="str">
            <v>Yes</v>
          </cell>
          <cell r="T100">
            <v>12</v>
          </cell>
        </row>
        <row r="103">
          <cell r="E103">
            <v>27</v>
          </cell>
          <cell r="I103">
            <v>186</v>
          </cell>
          <cell r="L103">
            <v>45448</v>
          </cell>
          <cell r="P103">
            <v>2785</v>
          </cell>
          <cell r="S103" t="str">
            <v>Yes</v>
          </cell>
          <cell r="T103">
            <v>4</v>
          </cell>
        </row>
      </sheetData>
      <sheetData sheetId="2">
        <row r="8">
          <cell r="L8">
            <v>8642</v>
          </cell>
        </row>
        <row r="9">
          <cell r="L9">
            <v>5943</v>
          </cell>
        </row>
        <row r="10">
          <cell r="L10">
            <v>1984</v>
          </cell>
        </row>
        <row r="12">
          <cell r="L12">
            <v>178638</v>
          </cell>
        </row>
        <row r="13">
          <cell r="L13">
            <v>144183</v>
          </cell>
        </row>
        <row r="15">
          <cell r="L15">
            <v>85.09</v>
          </cell>
        </row>
        <row r="16">
          <cell r="L16">
            <v>123.19</v>
          </cell>
        </row>
        <row r="18">
          <cell r="L18">
            <v>106624</v>
          </cell>
        </row>
        <row r="19">
          <cell r="L19">
            <v>97675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4055.0480000000002</v>
          </cell>
        </row>
        <row r="26">
          <cell r="L26">
            <v>4321.9059999999999</v>
          </cell>
        </row>
        <row r="28">
          <cell r="L28">
            <v>292419</v>
          </cell>
        </row>
        <row r="29">
          <cell r="L29">
            <v>239699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61563</v>
          </cell>
        </row>
        <row r="38">
          <cell r="L38">
            <v>60568</v>
          </cell>
        </row>
        <row r="39">
          <cell r="L39">
            <v>417752</v>
          </cell>
        </row>
        <row r="40">
          <cell r="L40">
            <v>397783</v>
          </cell>
        </row>
        <row r="41">
          <cell r="L41">
            <v>1022.915</v>
          </cell>
        </row>
        <row r="42">
          <cell r="L42">
            <v>977.36400000000003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  <row r="53">
          <cell r="L53">
            <v>1</v>
          </cell>
        </row>
        <row r="54">
          <cell r="L54">
            <v>0</v>
          </cell>
        </row>
        <row r="55">
          <cell r="L55">
            <v>4</v>
          </cell>
        </row>
        <row r="56">
          <cell r="L56">
            <v>18</v>
          </cell>
        </row>
        <row r="57">
          <cell r="L57">
            <v>0</v>
          </cell>
        </row>
        <row r="59">
          <cell r="L59">
            <v>89</v>
          </cell>
        </row>
        <row r="60">
          <cell r="L60">
            <v>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70400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41</v>
          </cell>
          <cell r="I92">
            <v>150</v>
          </cell>
          <cell r="L92">
            <v>31167</v>
          </cell>
          <cell r="P92">
            <v>2017</v>
          </cell>
          <cell r="S92" t="str">
            <v>Yes</v>
          </cell>
          <cell r="T92">
            <v>10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2">
        <row r="8">
          <cell r="J8">
            <v>33043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556037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234846</v>
          </cell>
        </row>
        <row r="19">
          <cell r="J19">
            <v>13766</v>
          </cell>
        </row>
        <row r="21">
          <cell r="J21">
            <v>40</v>
          </cell>
        </row>
        <row r="22">
          <cell r="J22">
            <v>3715</v>
          </cell>
        </row>
        <row r="23">
          <cell r="J23">
            <v>101383</v>
          </cell>
        </row>
        <row r="24">
          <cell r="J24">
            <v>1059</v>
          </cell>
        </row>
        <row r="25">
          <cell r="J25">
            <v>5374</v>
          </cell>
        </row>
        <row r="26">
          <cell r="J26">
            <v>773</v>
          </cell>
        </row>
        <row r="28">
          <cell r="J28">
            <v>318879</v>
          </cell>
        </row>
        <row r="29">
          <cell r="J29">
            <v>48922</v>
          </cell>
        </row>
        <row r="31">
          <cell r="J31">
            <v>289219</v>
          </cell>
        </row>
        <row r="32">
          <cell r="J32">
            <v>40601</v>
          </cell>
        </row>
        <row r="34">
          <cell r="J34">
            <v>362763</v>
          </cell>
        </row>
        <row r="35">
          <cell r="J35">
            <v>257340</v>
          </cell>
        </row>
        <row r="37">
          <cell r="J37">
            <v>39752</v>
          </cell>
        </row>
        <row r="38">
          <cell r="J38">
            <v>39752</v>
          </cell>
        </row>
        <row r="39">
          <cell r="J39">
            <v>231420</v>
          </cell>
        </row>
        <row r="40">
          <cell r="J40">
            <v>231420</v>
          </cell>
        </row>
        <row r="41">
          <cell r="J41">
            <v>2646</v>
          </cell>
        </row>
        <row r="42">
          <cell r="J42">
            <v>2646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  <row r="53">
          <cell r="J53">
            <v>1</v>
          </cell>
        </row>
        <row r="54">
          <cell r="J54">
            <v>0</v>
          </cell>
        </row>
        <row r="59">
          <cell r="J59">
            <v>358</v>
          </cell>
        </row>
        <row r="60">
          <cell r="J60">
            <v>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113">
          <cell r="E113">
            <v>0</v>
          </cell>
          <cell r="I113">
            <v>0</v>
          </cell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E116">
            <v>0</v>
          </cell>
          <cell r="I116">
            <v>0</v>
          </cell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L117">
            <v>67665</v>
          </cell>
          <cell r="P117">
            <v>4423</v>
          </cell>
          <cell r="S117" t="str">
            <v>Yes</v>
          </cell>
          <cell r="T117">
            <v>4</v>
          </cell>
        </row>
        <row r="118">
          <cell r="E118">
            <v>62</v>
          </cell>
          <cell r="I118">
            <v>373</v>
          </cell>
          <cell r="L118">
            <v>61756</v>
          </cell>
          <cell r="P118">
            <v>3377</v>
          </cell>
          <cell r="S118" t="str">
            <v>Yes</v>
          </cell>
          <cell r="T118">
            <v>3</v>
          </cell>
        </row>
        <row r="120">
          <cell r="E120">
            <v>35</v>
          </cell>
          <cell r="I120">
            <v>370</v>
          </cell>
          <cell r="L120">
            <v>54449</v>
          </cell>
          <cell r="P120">
            <v>3416</v>
          </cell>
          <cell r="S120" t="str">
            <v>Yes</v>
          </cell>
          <cell r="T120">
            <v>3</v>
          </cell>
        </row>
        <row r="121">
          <cell r="E121">
            <v>16</v>
          </cell>
          <cell r="I121">
            <v>110</v>
          </cell>
          <cell r="L121">
            <v>32597</v>
          </cell>
          <cell r="P121">
            <v>2000</v>
          </cell>
          <cell r="S121" t="str">
            <v>Yes</v>
          </cell>
          <cell r="T121">
            <v>2</v>
          </cell>
        </row>
        <row r="123">
          <cell r="E123">
            <v>21</v>
          </cell>
          <cell r="I123">
            <v>181</v>
          </cell>
          <cell r="L123">
            <v>31069</v>
          </cell>
          <cell r="P123">
            <v>2146</v>
          </cell>
          <cell r="S123" t="str">
            <v>Yes</v>
          </cell>
          <cell r="T123">
            <v>2</v>
          </cell>
        </row>
        <row r="125">
          <cell r="E125">
            <v>7</v>
          </cell>
          <cell r="I125">
            <v>20</v>
          </cell>
          <cell r="L125">
            <v>12549</v>
          </cell>
          <cell r="P125">
            <v>973</v>
          </cell>
          <cell r="S125" t="str">
            <v>No</v>
          </cell>
          <cell r="T125">
            <v>1</v>
          </cell>
        </row>
        <row r="126">
          <cell r="E126">
            <v>21</v>
          </cell>
          <cell r="I126">
            <v>129</v>
          </cell>
          <cell r="L126">
            <v>31305</v>
          </cell>
          <cell r="P126">
            <v>1956</v>
          </cell>
          <cell r="S126" t="str">
            <v>Yes</v>
          </cell>
          <cell r="T126">
            <v>2</v>
          </cell>
        </row>
        <row r="129">
          <cell r="E129">
            <v>27</v>
          </cell>
          <cell r="I129">
            <v>156</v>
          </cell>
          <cell r="L129">
            <v>45162</v>
          </cell>
          <cell r="P129">
            <v>3092</v>
          </cell>
          <cell r="S129" t="str">
            <v>Yes</v>
          </cell>
          <cell r="T129">
            <v>3</v>
          </cell>
        </row>
        <row r="130">
          <cell r="E130">
            <v>27</v>
          </cell>
          <cell r="I130">
            <v>377</v>
          </cell>
          <cell r="L130">
            <v>130714</v>
          </cell>
          <cell r="P130">
            <v>8656</v>
          </cell>
          <cell r="S130" t="str">
            <v>Yes</v>
          </cell>
          <cell r="T130">
            <v>4</v>
          </cell>
        </row>
        <row r="133">
          <cell r="E133">
            <v>9</v>
          </cell>
          <cell r="I133">
            <v>36</v>
          </cell>
          <cell r="L133">
            <v>9147</v>
          </cell>
          <cell r="P133">
            <v>627</v>
          </cell>
          <cell r="S133" t="str">
            <v>Yes</v>
          </cell>
          <cell r="T133">
            <v>2</v>
          </cell>
        </row>
        <row r="134">
          <cell r="E134">
            <v>53</v>
          </cell>
          <cell r="I134">
            <v>244</v>
          </cell>
          <cell r="L134">
            <v>40125</v>
          </cell>
          <cell r="P134">
            <v>2598</v>
          </cell>
          <cell r="S134" t="str">
            <v>No</v>
          </cell>
          <cell r="T134">
            <v>3</v>
          </cell>
        </row>
        <row r="137">
          <cell r="E137">
            <v>22</v>
          </cell>
          <cell r="I137">
            <v>148</v>
          </cell>
          <cell r="L137">
            <v>35212</v>
          </cell>
          <cell r="P137">
            <v>2382</v>
          </cell>
          <cell r="S137" t="str">
            <v>No</v>
          </cell>
          <cell r="T137">
            <v>0</v>
          </cell>
        </row>
        <row r="139">
          <cell r="E139">
            <v>24</v>
          </cell>
          <cell r="I139">
            <v>277</v>
          </cell>
          <cell r="L139">
            <v>155941</v>
          </cell>
          <cell r="P139">
            <v>9494</v>
          </cell>
          <cell r="S139" t="str">
            <v>Yes</v>
          </cell>
          <cell r="T139">
            <v>3</v>
          </cell>
        </row>
        <row r="141">
          <cell r="I141">
            <v>229</v>
          </cell>
          <cell r="L141">
            <v>695</v>
          </cell>
          <cell r="P141">
            <v>45</v>
          </cell>
          <cell r="S141" t="str">
            <v>No</v>
          </cell>
          <cell r="T141">
            <v>0</v>
          </cell>
        </row>
        <row r="142">
          <cell r="E142">
            <v>61</v>
          </cell>
          <cell r="I142">
            <v>554</v>
          </cell>
          <cell r="L142">
            <v>128973</v>
          </cell>
          <cell r="P142">
            <v>6108</v>
          </cell>
          <cell r="S142" t="str">
            <v>Yes</v>
          </cell>
          <cell r="T142">
            <v>5</v>
          </cell>
        </row>
        <row r="143">
          <cell r="E143">
            <v>27</v>
          </cell>
          <cell r="I143">
            <v>229</v>
          </cell>
          <cell r="L143">
            <v>40521</v>
          </cell>
          <cell r="P143">
            <v>2680</v>
          </cell>
          <cell r="S143" t="str">
            <v>Yes</v>
          </cell>
          <cell r="T143">
            <v>3</v>
          </cell>
        </row>
        <row r="144">
          <cell r="E144">
            <v>20</v>
          </cell>
          <cell r="I144">
            <v>174</v>
          </cell>
          <cell r="L144">
            <v>27753</v>
          </cell>
          <cell r="P144">
            <v>1833</v>
          </cell>
          <cell r="S144" t="str">
            <v>Yes</v>
          </cell>
          <cell r="T144">
            <v>2</v>
          </cell>
        </row>
        <row r="148">
          <cell r="I148">
            <v>319</v>
          </cell>
          <cell r="L148">
            <v>18650</v>
          </cell>
          <cell r="P148">
            <v>1218</v>
          </cell>
          <cell r="S148" t="str">
            <v>No</v>
          </cell>
          <cell r="T148">
            <v>0</v>
          </cell>
        </row>
        <row r="150">
          <cell r="E150">
            <v>39</v>
          </cell>
          <cell r="I150">
            <v>274</v>
          </cell>
          <cell r="L150">
            <v>51816</v>
          </cell>
          <cell r="P150">
            <v>3291</v>
          </cell>
          <cell r="S150" t="str">
            <v>Yes</v>
          </cell>
          <cell r="T150">
            <v>3</v>
          </cell>
        </row>
        <row r="152">
          <cell r="E152">
            <v>57</v>
          </cell>
          <cell r="I152">
            <v>224</v>
          </cell>
          <cell r="L152">
            <v>54233</v>
          </cell>
          <cell r="P152">
            <v>3371</v>
          </cell>
          <cell r="S152" t="str">
            <v>Yes</v>
          </cell>
          <cell r="T152">
            <v>3</v>
          </cell>
        </row>
        <row r="154">
          <cell r="E154">
            <v>10</v>
          </cell>
          <cell r="I154">
            <v>143</v>
          </cell>
          <cell r="L154">
            <v>28518</v>
          </cell>
          <cell r="P154">
            <v>1852</v>
          </cell>
          <cell r="S154" t="str">
            <v>Yes</v>
          </cell>
          <cell r="T154">
            <v>2</v>
          </cell>
        </row>
        <row r="155">
          <cell r="E155">
            <v>87</v>
          </cell>
          <cell r="I155">
            <v>788</v>
          </cell>
          <cell r="L155">
            <v>182971</v>
          </cell>
          <cell r="P155">
            <v>8067</v>
          </cell>
          <cell r="S155" t="str">
            <v>Yes</v>
          </cell>
          <cell r="T155">
            <v>7</v>
          </cell>
        </row>
        <row r="156">
          <cell r="E156">
            <v>22</v>
          </cell>
          <cell r="I156">
            <v>152</v>
          </cell>
          <cell r="L156">
            <v>44536</v>
          </cell>
          <cell r="P156">
            <v>2895</v>
          </cell>
          <cell r="S156" t="str">
            <v>Yes</v>
          </cell>
          <cell r="T156">
            <v>3</v>
          </cell>
        </row>
      </sheetData>
      <sheetData sheetId="2">
        <row r="8">
          <cell r="H8">
            <v>32639</v>
          </cell>
        </row>
        <row r="9">
          <cell r="H9">
            <v>45223</v>
          </cell>
        </row>
        <row r="12">
          <cell r="H12">
            <v>541130</v>
          </cell>
        </row>
        <row r="13">
          <cell r="H13">
            <v>776558</v>
          </cell>
        </row>
        <row r="15">
          <cell r="H15">
            <v>81.78</v>
          </cell>
        </row>
        <row r="16">
          <cell r="H16">
            <v>80.819999999999993</v>
          </cell>
        </row>
        <row r="18">
          <cell r="H18">
            <v>150814</v>
          </cell>
        </row>
        <row r="19">
          <cell r="H19">
            <v>337444</v>
          </cell>
        </row>
        <row r="21">
          <cell r="H21">
            <v>2</v>
          </cell>
        </row>
        <row r="22">
          <cell r="H22">
            <v>34</v>
          </cell>
        </row>
        <row r="23">
          <cell r="H23">
            <v>3494</v>
          </cell>
        </row>
        <row r="25">
          <cell r="H25">
            <v>5280.33</v>
          </cell>
        </row>
        <row r="26">
          <cell r="H26">
            <v>7257.49</v>
          </cell>
        </row>
        <row r="28">
          <cell r="H28">
            <v>355155</v>
          </cell>
        </row>
        <row r="29">
          <cell r="H29">
            <v>489695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1675.2</v>
          </cell>
        </row>
        <row r="42">
          <cell r="H42">
            <v>1675.2</v>
          </cell>
        </row>
        <row r="43">
          <cell r="H43">
            <v>186</v>
          </cell>
        </row>
        <row r="44">
          <cell r="H44">
            <v>5901</v>
          </cell>
        </row>
        <row r="45">
          <cell r="H45">
            <v>4578</v>
          </cell>
        </row>
        <row r="50">
          <cell r="H50">
            <v>8442</v>
          </cell>
        </row>
        <row r="51">
          <cell r="H51">
            <v>1770</v>
          </cell>
        </row>
        <row r="53">
          <cell r="H53">
            <v>1</v>
          </cell>
        </row>
        <row r="54">
          <cell r="H54">
            <v>3</v>
          </cell>
        </row>
        <row r="55">
          <cell r="H55">
            <v>18</v>
          </cell>
        </row>
        <row r="56">
          <cell r="H56">
            <v>60</v>
          </cell>
        </row>
        <row r="57">
          <cell r="H57">
            <v>2</v>
          </cell>
        </row>
        <row r="59">
          <cell r="H59">
            <v>151</v>
          </cell>
        </row>
        <row r="60">
          <cell r="H60">
            <v>69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ain Sheet"/>
      <sheetName val="AKRSP"/>
      <sheetName val="BRSP"/>
      <sheetName val="SRSP"/>
      <sheetName val="TRDP"/>
      <sheetName val="PRSP"/>
      <sheetName val="GBTI"/>
      <sheetName val="SRSO"/>
      <sheetName val="SGA"/>
      <sheetName val="NRSP"/>
    </sheetNames>
    <sheetDataSet>
      <sheetData sheetId="0"/>
      <sheetData sheetId="1">
        <row r="65">
          <cell r="A65">
            <v>59</v>
          </cell>
        </row>
        <row r="117">
          <cell r="A117">
            <v>48</v>
          </cell>
        </row>
        <row r="240">
          <cell r="A240">
            <v>119</v>
          </cell>
        </row>
        <row r="242">
          <cell r="A242">
            <v>645</v>
          </cell>
        </row>
        <row r="298">
          <cell r="A298">
            <v>52</v>
          </cell>
        </row>
        <row r="354">
          <cell r="A354">
            <v>52</v>
          </cell>
        </row>
        <row r="365">
          <cell r="A365">
            <v>8</v>
          </cell>
        </row>
        <row r="497">
          <cell r="A497">
            <v>128</v>
          </cell>
        </row>
        <row r="502">
          <cell r="A50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/>
      <sheetData sheetId="2">
        <row r="8">
          <cell r="I8">
            <v>410</v>
          </cell>
        </row>
        <row r="9">
          <cell r="I9">
            <v>450</v>
          </cell>
        </row>
        <row r="10">
          <cell r="I10" t="str">
            <v>-</v>
          </cell>
        </row>
        <row r="12">
          <cell r="I12">
            <v>10845</v>
          </cell>
        </row>
        <row r="13">
          <cell r="I13">
            <v>11348</v>
          </cell>
        </row>
        <row r="15">
          <cell r="I15" t="str">
            <v>-</v>
          </cell>
        </row>
        <row r="16">
          <cell r="I16">
            <v>1</v>
          </cell>
        </row>
        <row r="18">
          <cell r="I18">
            <v>4830</v>
          </cell>
        </row>
        <row r="19">
          <cell r="I19">
            <v>4830</v>
          </cell>
        </row>
        <row r="21">
          <cell r="I21" t="str">
            <v>-</v>
          </cell>
        </row>
        <row r="22">
          <cell r="I22" t="str">
            <v>-</v>
          </cell>
        </row>
        <row r="23">
          <cell r="I23" t="str">
            <v>-</v>
          </cell>
        </row>
        <row r="24">
          <cell r="I24" t="str">
            <v>-</v>
          </cell>
        </row>
        <row r="25">
          <cell r="I25" t="str">
            <v>-</v>
          </cell>
        </row>
        <row r="26">
          <cell r="I26" t="str">
            <v>-</v>
          </cell>
        </row>
        <row r="28">
          <cell r="I28" t="str">
            <v>-</v>
          </cell>
        </row>
        <row r="29">
          <cell r="I29" t="str">
            <v>-</v>
          </cell>
        </row>
        <row r="31">
          <cell r="I31" t="str">
            <v>-</v>
          </cell>
        </row>
        <row r="32">
          <cell r="I32" t="str">
            <v>-</v>
          </cell>
        </row>
        <row r="37">
          <cell r="I37">
            <v>16</v>
          </cell>
        </row>
        <row r="38">
          <cell r="I38">
            <v>16</v>
          </cell>
        </row>
        <row r="39">
          <cell r="I39">
            <v>6500</v>
          </cell>
        </row>
        <row r="41">
          <cell r="I41">
            <v>20</v>
          </cell>
        </row>
        <row r="42">
          <cell r="I42">
            <v>20</v>
          </cell>
        </row>
        <row r="43">
          <cell r="I43">
            <v>25</v>
          </cell>
        </row>
        <row r="44">
          <cell r="I44">
            <v>3526</v>
          </cell>
        </row>
        <row r="45">
          <cell r="I45">
            <v>5110</v>
          </cell>
        </row>
        <row r="50">
          <cell r="I50">
            <v>410</v>
          </cell>
        </row>
        <row r="53">
          <cell r="I53">
            <v>1</v>
          </cell>
        </row>
        <row r="54">
          <cell r="I54">
            <v>4</v>
          </cell>
        </row>
        <row r="55">
          <cell r="I55">
            <v>1</v>
          </cell>
        </row>
        <row r="56">
          <cell r="I56" t="str">
            <v>-</v>
          </cell>
        </row>
        <row r="57">
          <cell r="I57">
            <v>1</v>
          </cell>
        </row>
        <row r="59">
          <cell r="I59">
            <v>30</v>
          </cell>
        </row>
        <row r="60">
          <cell r="I60" t="str">
            <v>-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">
          <cell r="S4">
            <v>0</v>
          </cell>
          <cell r="T4">
            <v>0</v>
          </cell>
        </row>
        <row r="56">
          <cell r="E56">
            <v>4</v>
          </cell>
          <cell r="I56">
            <v>22</v>
          </cell>
          <cell r="L56">
            <v>7380</v>
          </cell>
          <cell r="P56">
            <v>762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23</v>
          </cell>
          <cell r="L72">
            <v>8942</v>
          </cell>
          <cell r="P72">
            <v>788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2">
        <row r="8">
          <cell r="F8">
            <v>1758</v>
          </cell>
        </row>
        <row r="9">
          <cell r="F9">
            <v>1427</v>
          </cell>
        </row>
        <row r="10">
          <cell r="F10">
            <v>0</v>
          </cell>
        </row>
        <row r="12">
          <cell r="F12">
            <v>26321</v>
          </cell>
        </row>
        <row r="13">
          <cell r="F13">
            <v>29212</v>
          </cell>
        </row>
        <row r="15">
          <cell r="F15">
            <v>5.0999999999999996</v>
          </cell>
        </row>
        <row r="16">
          <cell r="F16">
            <v>4.3</v>
          </cell>
        </row>
        <row r="18">
          <cell r="F18">
            <v>12958</v>
          </cell>
        </row>
        <row r="19">
          <cell r="F19">
            <v>4730</v>
          </cell>
        </row>
        <row r="21">
          <cell r="F21">
            <v>2</v>
          </cell>
        </row>
        <row r="22">
          <cell r="F22">
            <v>9</v>
          </cell>
        </row>
        <row r="23">
          <cell r="F23">
            <v>37</v>
          </cell>
        </row>
        <row r="24">
          <cell r="F24">
            <v>1</v>
          </cell>
        </row>
        <row r="25">
          <cell r="F25">
            <v>507</v>
          </cell>
        </row>
        <row r="26">
          <cell r="F26">
            <v>94</v>
          </cell>
        </row>
        <row r="28">
          <cell r="F28">
            <v>32043</v>
          </cell>
        </row>
        <row r="29">
          <cell r="F29">
            <v>6427</v>
          </cell>
        </row>
        <row r="31">
          <cell r="F31">
            <v>28842</v>
          </cell>
        </row>
        <row r="32">
          <cell r="F32">
            <v>7680</v>
          </cell>
        </row>
        <row r="34">
          <cell r="F34">
            <v>28842</v>
          </cell>
        </row>
        <row r="35">
          <cell r="F35">
            <v>7680</v>
          </cell>
        </row>
        <row r="37">
          <cell r="F37">
            <v>693</v>
          </cell>
        </row>
        <row r="38">
          <cell r="F38">
            <v>653</v>
          </cell>
        </row>
        <row r="39">
          <cell r="F39">
            <v>24178</v>
          </cell>
        </row>
        <row r="40">
          <cell r="F40">
            <v>23148</v>
          </cell>
        </row>
        <row r="41">
          <cell r="F41">
            <v>293</v>
          </cell>
        </row>
        <row r="42">
          <cell r="F42">
            <v>260.82400000000001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  <row r="59">
          <cell r="F59">
            <v>48</v>
          </cell>
        </row>
        <row r="60">
          <cell r="F60">
            <v>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6">
          <cell r="E6">
            <v>12</v>
          </cell>
          <cell r="I6">
            <v>722</v>
          </cell>
          <cell r="L6">
            <v>26391</v>
          </cell>
          <cell r="P6">
            <v>1605</v>
          </cell>
          <cell r="S6" t="str">
            <v>Yes</v>
          </cell>
          <cell r="T6">
            <v>1</v>
          </cell>
        </row>
        <row r="10">
          <cell r="E10">
            <v>8</v>
          </cell>
          <cell r="I10">
            <v>118</v>
          </cell>
          <cell r="L10">
            <v>10079</v>
          </cell>
          <cell r="P10">
            <v>608</v>
          </cell>
          <cell r="S10" t="str">
            <v>Yes</v>
          </cell>
          <cell r="T10">
            <v>1</v>
          </cell>
        </row>
        <row r="15">
          <cell r="E15">
            <v>13</v>
          </cell>
          <cell r="I15">
            <v>144</v>
          </cell>
          <cell r="L15">
            <v>36326</v>
          </cell>
          <cell r="P15">
            <v>1909</v>
          </cell>
          <cell r="S15" t="str">
            <v>Yes</v>
          </cell>
          <cell r="T15">
            <v>2</v>
          </cell>
        </row>
        <row r="20">
          <cell r="E20">
            <v>38</v>
          </cell>
          <cell r="I20">
            <v>357</v>
          </cell>
          <cell r="L20">
            <v>49149</v>
          </cell>
          <cell r="P20">
            <v>2246</v>
          </cell>
          <cell r="S20" t="str">
            <v>Yes</v>
          </cell>
          <cell r="T20">
            <v>1</v>
          </cell>
        </row>
        <row r="26">
          <cell r="E26">
            <v>5</v>
          </cell>
          <cell r="I26">
            <v>288</v>
          </cell>
          <cell r="L26">
            <v>14736</v>
          </cell>
          <cell r="P26">
            <v>895</v>
          </cell>
          <cell r="S26" t="str">
            <v>Yes</v>
          </cell>
          <cell r="T26">
            <v>3</v>
          </cell>
        </row>
        <row r="32">
          <cell r="E32">
            <v>16</v>
          </cell>
          <cell r="I32">
            <v>117</v>
          </cell>
          <cell r="L32">
            <v>20706</v>
          </cell>
          <cell r="P32">
            <v>1274</v>
          </cell>
          <cell r="S32" t="str">
            <v>Yes</v>
          </cell>
          <cell r="T32">
            <v>2</v>
          </cell>
        </row>
        <row r="46">
          <cell r="E46">
            <v>5</v>
          </cell>
          <cell r="I46">
            <v>167</v>
          </cell>
          <cell r="L46">
            <v>269</v>
          </cell>
          <cell r="P46">
            <v>19</v>
          </cell>
          <cell r="S46" t="str">
            <v>No</v>
          </cell>
          <cell r="T46">
            <v>1</v>
          </cell>
        </row>
        <row r="48">
          <cell r="E48">
            <v>28</v>
          </cell>
          <cell r="I48">
            <v>226</v>
          </cell>
          <cell r="L48">
            <v>13046</v>
          </cell>
          <cell r="P48">
            <v>746</v>
          </cell>
          <cell r="S48" t="str">
            <v>No</v>
          </cell>
          <cell r="T48">
            <v>0</v>
          </cell>
        </row>
        <row r="58">
          <cell r="E58">
            <v>2</v>
          </cell>
          <cell r="I58">
            <v>16</v>
          </cell>
          <cell r="L58">
            <v>4794</v>
          </cell>
          <cell r="P58">
            <v>324</v>
          </cell>
          <cell r="S58" t="str">
            <v>No</v>
          </cell>
          <cell r="T58">
            <v>1</v>
          </cell>
        </row>
        <row r="63">
          <cell r="E63">
            <v>25</v>
          </cell>
          <cell r="I63">
            <v>193</v>
          </cell>
          <cell r="L63">
            <v>30762</v>
          </cell>
          <cell r="P63">
            <v>1971</v>
          </cell>
          <cell r="S63" t="str">
            <v>No</v>
          </cell>
          <cell r="T63">
            <v>0</v>
          </cell>
        </row>
        <row r="66">
          <cell r="E66">
            <v>63</v>
          </cell>
          <cell r="I66">
            <v>187</v>
          </cell>
          <cell r="L66">
            <v>53799</v>
          </cell>
          <cell r="P66">
            <v>3794</v>
          </cell>
          <cell r="S66" t="str">
            <v>Yes</v>
          </cell>
          <cell r="T66">
            <v>1</v>
          </cell>
        </row>
        <row r="69">
          <cell r="E69">
            <v>13</v>
          </cell>
          <cell r="I69">
            <v>176</v>
          </cell>
          <cell r="L69">
            <v>4107</v>
          </cell>
          <cell r="P69">
            <v>208</v>
          </cell>
          <cell r="S69" t="str">
            <v>Yes</v>
          </cell>
          <cell r="T69">
            <v>1</v>
          </cell>
        </row>
        <row r="73">
          <cell r="E73">
            <v>38</v>
          </cell>
          <cell r="I73">
            <v>179</v>
          </cell>
          <cell r="L73">
            <v>29670</v>
          </cell>
          <cell r="P73">
            <v>1924</v>
          </cell>
          <cell r="S73" t="str">
            <v>Yes</v>
          </cell>
          <cell r="T73">
            <v>2</v>
          </cell>
        </row>
        <row r="74">
          <cell r="E74">
            <v>19</v>
          </cell>
          <cell r="I74">
            <v>224</v>
          </cell>
          <cell r="L74">
            <v>8071</v>
          </cell>
          <cell r="P74">
            <v>403</v>
          </cell>
          <cell r="S74" t="str">
            <v>No</v>
          </cell>
          <cell r="T74">
            <v>1</v>
          </cell>
        </row>
        <row r="80">
          <cell r="E80">
            <v>46</v>
          </cell>
          <cell r="I80">
            <v>349</v>
          </cell>
          <cell r="L80">
            <v>114797</v>
          </cell>
          <cell r="P80">
            <v>6450</v>
          </cell>
          <cell r="S80" t="str">
            <v>Yes</v>
          </cell>
          <cell r="T80">
            <v>3</v>
          </cell>
        </row>
        <row r="83">
          <cell r="E83">
            <v>20</v>
          </cell>
          <cell r="I83">
            <v>121</v>
          </cell>
          <cell r="L83">
            <v>11979</v>
          </cell>
          <cell r="P83">
            <v>725</v>
          </cell>
          <cell r="S83" t="str">
            <v>Yes</v>
          </cell>
          <cell r="T83">
            <v>2</v>
          </cell>
        </row>
        <row r="90">
          <cell r="E90">
            <v>15</v>
          </cell>
          <cell r="I90">
            <v>21</v>
          </cell>
          <cell r="L90">
            <v>23129</v>
          </cell>
          <cell r="P90">
            <v>1770</v>
          </cell>
          <cell r="S90" t="str">
            <v>No</v>
          </cell>
          <cell r="T90">
            <v>0</v>
          </cell>
        </row>
        <row r="91">
          <cell r="E91">
            <v>41</v>
          </cell>
          <cell r="I91">
            <v>329</v>
          </cell>
          <cell r="L91">
            <v>78367</v>
          </cell>
          <cell r="P91">
            <v>4767</v>
          </cell>
          <cell r="S91" t="str">
            <v>Yes</v>
          </cell>
          <cell r="T91">
            <v>3</v>
          </cell>
        </row>
        <row r="93">
          <cell r="E93">
            <v>27</v>
          </cell>
          <cell r="I93">
            <v>54</v>
          </cell>
          <cell r="L93">
            <v>3092</v>
          </cell>
          <cell r="P93">
            <v>564</v>
          </cell>
          <cell r="S93" t="str">
            <v>No</v>
          </cell>
          <cell r="T93">
            <v>0</v>
          </cell>
        </row>
        <row r="98">
          <cell r="E98">
            <v>12</v>
          </cell>
          <cell r="I98">
            <v>19</v>
          </cell>
          <cell r="L98">
            <v>21838</v>
          </cell>
          <cell r="P98">
            <v>1673</v>
          </cell>
          <cell r="S98" t="str">
            <v>No</v>
          </cell>
          <cell r="T98">
            <v>1</v>
          </cell>
        </row>
        <row r="99">
          <cell r="E99">
            <v>13</v>
          </cell>
          <cell r="I99">
            <v>66</v>
          </cell>
          <cell r="L99">
            <v>19042</v>
          </cell>
          <cell r="P99">
            <v>1156</v>
          </cell>
          <cell r="S99" t="str">
            <v>No</v>
          </cell>
          <cell r="T99">
            <v>1</v>
          </cell>
        </row>
        <row r="101">
          <cell r="E101">
            <v>52</v>
          </cell>
          <cell r="I101">
            <v>298</v>
          </cell>
          <cell r="L101">
            <v>43043</v>
          </cell>
          <cell r="P101">
            <v>2491</v>
          </cell>
          <cell r="S101" t="str">
            <v>Yes</v>
          </cell>
          <cell r="T101">
            <v>4</v>
          </cell>
        </row>
        <row r="102">
          <cell r="E102">
            <v>1</v>
          </cell>
          <cell r="I102">
            <v>5</v>
          </cell>
          <cell r="L102">
            <v>2148</v>
          </cell>
          <cell r="P102">
            <v>179</v>
          </cell>
          <cell r="S102" t="str">
            <v>No</v>
          </cell>
          <cell r="T102">
            <v>1</v>
          </cell>
        </row>
        <row r="108">
          <cell r="E108">
            <v>64</v>
          </cell>
          <cell r="I108">
            <v>454</v>
          </cell>
          <cell r="L108">
            <v>66651</v>
          </cell>
          <cell r="P108">
            <v>4318</v>
          </cell>
          <cell r="S108" t="str">
            <v>Yes</v>
          </cell>
          <cell r="T108">
            <v>5</v>
          </cell>
        </row>
        <row r="109">
          <cell r="E109">
            <v>101</v>
          </cell>
          <cell r="I109">
            <v>869</v>
          </cell>
          <cell r="L109">
            <v>233312</v>
          </cell>
          <cell r="P109">
            <v>16612</v>
          </cell>
          <cell r="S109" t="str">
            <v>Yes</v>
          </cell>
          <cell r="T109">
            <v>6</v>
          </cell>
        </row>
        <row r="110">
          <cell r="E110">
            <v>97</v>
          </cell>
          <cell r="I110">
            <v>609</v>
          </cell>
          <cell r="L110">
            <v>290390</v>
          </cell>
          <cell r="P110">
            <v>19475</v>
          </cell>
          <cell r="S110" t="str">
            <v>Yes</v>
          </cell>
          <cell r="T110">
            <v>5</v>
          </cell>
        </row>
        <row r="111">
          <cell r="E111">
            <v>42</v>
          </cell>
          <cell r="I111">
            <v>530</v>
          </cell>
          <cell r="L111">
            <v>159387</v>
          </cell>
          <cell r="P111">
            <v>10036</v>
          </cell>
          <cell r="S111" t="str">
            <v>Yes</v>
          </cell>
          <cell r="T111">
            <v>4</v>
          </cell>
        </row>
        <row r="112">
          <cell r="E112">
            <v>60</v>
          </cell>
          <cell r="I112">
            <v>418</v>
          </cell>
          <cell r="L112">
            <v>70915</v>
          </cell>
          <cell r="P112">
            <v>3875</v>
          </cell>
          <cell r="S112" t="str">
            <v>Yes</v>
          </cell>
          <cell r="T112">
            <v>3</v>
          </cell>
        </row>
        <row r="114">
          <cell r="E114">
            <v>1</v>
          </cell>
          <cell r="I114">
            <v>10</v>
          </cell>
          <cell r="L114">
            <v>1488</v>
          </cell>
          <cell r="P114">
            <v>124</v>
          </cell>
          <cell r="S114" t="str">
            <v>No</v>
          </cell>
          <cell r="T114">
            <v>3</v>
          </cell>
        </row>
        <row r="115">
          <cell r="E115">
            <v>50</v>
          </cell>
          <cell r="I115">
            <v>492</v>
          </cell>
          <cell r="L115">
            <v>154878</v>
          </cell>
          <cell r="P115">
            <v>10921</v>
          </cell>
          <cell r="S115" t="str">
            <v>Yes</v>
          </cell>
          <cell r="T115">
            <v>2</v>
          </cell>
        </row>
        <row r="119">
          <cell r="E119">
            <v>46</v>
          </cell>
          <cell r="I119">
            <v>373</v>
          </cell>
          <cell r="J119">
            <v>47026</v>
          </cell>
          <cell r="L119">
            <v>144</v>
          </cell>
          <cell r="P119">
            <v>12</v>
          </cell>
          <cell r="S119" t="str">
            <v>Yes</v>
          </cell>
          <cell r="T119">
            <v>3</v>
          </cell>
        </row>
        <row r="122">
          <cell r="E122">
            <v>48</v>
          </cell>
          <cell r="I122">
            <v>184</v>
          </cell>
          <cell r="L122">
            <v>5113</v>
          </cell>
          <cell r="P122">
            <v>454</v>
          </cell>
          <cell r="S122" t="str">
            <v>Yes</v>
          </cell>
          <cell r="T122">
            <v>3</v>
          </cell>
        </row>
        <row r="124">
          <cell r="E124">
            <v>52</v>
          </cell>
          <cell r="I124">
            <v>637</v>
          </cell>
          <cell r="L124">
            <v>42843</v>
          </cell>
          <cell r="P124">
            <v>2446</v>
          </cell>
          <cell r="S124" t="str">
            <v>Yes</v>
          </cell>
          <cell r="T124">
            <v>3</v>
          </cell>
        </row>
        <row r="127">
          <cell r="E127">
            <v>70</v>
          </cell>
          <cell r="I127">
            <v>305</v>
          </cell>
          <cell r="L127">
            <v>17775</v>
          </cell>
          <cell r="P127">
            <v>1662</v>
          </cell>
          <cell r="S127" t="str">
            <v>No</v>
          </cell>
          <cell r="T127">
            <v>0</v>
          </cell>
        </row>
        <row r="128">
          <cell r="E128">
            <v>50</v>
          </cell>
          <cell r="I128">
            <v>329</v>
          </cell>
          <cell r="L128">
            <v>148171</v>
          </cell>
          <cell r="P128">
            <v>8497</v>
          </cell>
          <cell r="S128" t="str">
            <v>Yes</v>
          </cell>
          <cell r="T128">
            <v>4</v>
          </cell>
        </row>
        <row r="131">
          <cell r="E131">
            <v>0</v>
          </cell>
          <cell r="L131">
            <v>5983</v>
          </cell>
          <cell r="P131">
            <v>364</v>
          </cell>
          <cell r="S131" t="str">
            <v>No</v>
          </cell>
          <cell r="T131">
            <v>1</v>
          </cell>
        </row>
        <row r="132">
          <cell r="E132">
            <v>70</v>
          </cell>
          <cell r="I132">
            <v>386</v>
          </cell>
          <cell r="L132">
            <v>46705</v>
          </cell>
          <cell r="P132">
            <v>3886</v>
          </cell>
          <cell r="S132" t="str">
            <v>No</v>
          </cell>
          <cell r="T132">
            <v>0</v>
          </cell>
        </row>
        <row r="135">
          <cell r="E135">
            <v>9</v>
          </cell>
          <cell r="I135">
            <v>21</v>
          </cell>
          <cell r="L135">
            <v>414</v>
          </cell>
          <cell r="P135">
            <v>35</v>
          </cell>
          <cell r="S135" t="str">
            <v>Yes</v>
          </cell>
          <cell r="T135">
            <v>4</v>
          </cell>
        </row>
        <row r="136">
          <cell r="E136">
            <v>56</v>
          </cell>
          <cell r="I136">
            <v>228</v>
          </cell>
          <cell r="L136">
            <v>90461</v>
          </cell>
          <cell r="P136">
            <v>5216</v>
          </cell>
          <cell r="S136" t="str">
            <v>Yes</v>
          </cell>
          <cell r="T136">
            <v>4</v>
          </cell>
        </row>
        <row r="138">
          <cell r="E138">
            <v>58</v>
          </cell>
          <cell r="I138">
            <v>169</v>
          </cell>
          <cell r="L138">
            <v>17654</v>
          </cell>
          <cell r="P138">
            <v>1958</v>
          </cell>
          <cell r="S138" t="str">
            <v>No</v>
          </cell>
          <cell r="T138">
            <v>0</v>
          </cell>
        </row>
        <row r="140">
          <cell r="E140">
            <v>24</v>
          </cell>
          <cell r="H140">
            <v>0</v>
          </cell>
          <cell r="K140">
            <v>0</v>
          </cell>
          <cell r="L140">
            <v>0</v>
          </cell>
          <cell r="O140">
            <v>0</v>
          </cell>
          <cell r="P140">
            <v>0</v>
          </cell>
          <cell r="S140" t="str">
            <v>No</v>
          </cell>
          <cell r="T140">
            <v>3</v>
          </cell>
        </row>
        <row r="145">
          <cell r="E145">
            <v>54</v>
          </cell>
          <cell r="I145">
            <v>291</v>
          </cell>
          <cell r="L145">
            <v>12295</v>
          </cell>
          <cell r="P145">
            <v>1486</v>
          </cell>
          <cell r="S145" t="str">
            <v>No</v>
          </cell>
          <cell r="T145">
            <v>0</v>
          </cell>
        </row>
        <row r="146">
          <cell r="E146">
            <v>103</v>
          </cell>
          <cell r="I146">
            <v>474</v>
          </cell>
          <cell r="L146">
            <v>89208</v>
          </cell>
          <cell r="P146">
            <v>8140</v>
          </cell>
          <cell r="S146" t="str">
            <v>Yes</v>
          </cell>
          <cell r="T146">
            <v>13</v>
          </cell>
        </row>
        <row r="147">
          <cell r="E147">
            <v>43</v>
          </cell>
          <cell r="I147">
            <v>373</v>
          </cell>
          <cell r="L147">
            <v>103879</v>
          </cell>
          <cell r="P147">
            <v>6862</v>
          </cell>
          <cell r="S147" t="str">
            <v>Yes</v>
          </cell>
          <cell r="T147">
            <v>4</v>
          </cell>
        </row>
        <row r="149">
          <cell r="E149">
            <v>58</v>
          </cell>
          <cell r="I149">
            <v>319</v>
          </cell>
          <cell r="L149">
            <v>91159</v>
          </cell>
          <cell r="P149">
            <v>6125</v>
          </cell>
          <cell r="S149" t="str">
            <v>Yes</v>
          </cell>
          <cell r="T149">
            <v>5</v>
          </cell>
        </row>
        <row r="151">
          <cell r="E151">
            <v>52</v>
          </cell>
          <cell r="I151">
            <v>218</v>
          </cell>
          <cell r="L151">
            <v>12414</v>
          </cell>
          <cell r="P151">
            <v>1201</v>
          </cell>
          <cell r="S151" t="str">
            <v>No</v>
          </cell>
          <cell r="T151">
            <v>0</v>
          </cell>
        </row>
        <row r="153">
          <cell r="E153">
            <v>116</v>
          </cell>
          <cell r="I153">
            <v>652</v>
          </cell>
          <cell r="L153">
            <v>18020</v>
          </cell>
          <cell r="P153">
            <v>1566</v>
          </cell>
          <cell r="S153" t="str">
            <v>Yes</v>
          </cell>
          <cell r="T153">
            <v>7</v>
          </cell>
        </row>
        <row r="157">
          <cell r="E157">
            <v>61</v>
          </cell>
          <cell r="I157">
            <v>214</v>
          </cell>
          <cell r="L157">
            <v>13594</v>
          </cell>
          <cell r="P157">
            <v>1545</v>
          </cell>
          <cell r="S157" t="str">
            <v>No</v>
          </cell>
          <cell r="T157">
            <v>0</v>
          </cell>
        </row>
        <row r="158">
          <cell r="E158">
            <v>80</v>
          </cell>
          <cell r="I158">
            <v>528</v>
          </cell>
          <cell r="L158">
            <v>39089</v>
          </cell>
          <cell r="P158">
            <v>3149</v>
          </cell>
          <cell r="S158" t="str">
            <v>No</v>
          </cell>
          <cell r="T158">
            <v>1</v>
          </cell>
        </row>
        <row r="162">
          <cell r="E162">
            <v>19</v>
          </cell>
          <cell r="I162">
            <v>100</v>
          </cell>
          <cell r="L162">
            <v>27520</v>
          </cell>
          <cell r="P162">
            <v>1633</v>
          </cell>
          <cell r="S162" t="str">
            <v>Yes</v>
          </cell>
          <cell r="T162">
            <v>1</v>
          </cell>
        </row>
        <row r="164">
          <cell r="E164">
            <v>5</v>
          </cell>
          <cell r="I164">
            <v>38</v>
          </cell>
          <cell r="L164">
            <v>12914</v>
          </cell>
          <cell r="P164">
            <v>608</v>
          </cell>
          <cell r="S164" t="str">
            <v>No</v>
          </cell>
          <cell r="T164">
            <v>0</v>
          </cell>
        </row>
        <row r="166">
          <cell r="E166">
            <v>33</v>
          </cell>
          <cell r="I166">
            <v>87</v>
          </cell>
          <cell r="L166">
            <v>42685</v>
          </cell>
          <cell r="P166">
            <v>2419</v>
          </cell>
          <cell r="S166" t="str">
            <v>Yes</v>
          </cell>
          <cell r="T166">
            <v>3</v>
          </cell>
        </row>
        <row r="168">
          <cell r="E168">
            <v>18</v>
          </cell>
          <cell r="I168">
            <v>56</v>
          </cell>
          <cell r="L168">
            <v>24613</v>
          </cell>
          <cell r="P168">
            <v>1096</v>
          </cell>
          <cell r="S168" t="str">
            <v>No</v>
          </cell>
          <cell r="T168">
            <v>0</v>
          </cell>
        </row>
        <row r="170">
          <cell r="E170">
            <v>9</v>
          </cell>
          <cell r="I170">
            <v>100</v>
          </cell>
          <cell r="L170">
            <v>11619</v>
          </cell>
          <cell r="P170">
            <v>535</v>
          </cell>
          <cell r="S170" t="str">
            <v>No</v>
          </cell>
          <cell r="T170">
            <v>0</v>
          </cell>
        </row>
        <row r="172">
          <cell r="E172">
            <v>26</v>
          </cell>
          <cell r="I172">
            <v>104</v>
          </cell>
          <cell r="L172">
            <v>46403</v>
          </cell>
          <cell r="P172">
            <v>2467</v>
          </cell>
          <cell r="S172" t="str">
            <v>Yes</v>
          </cell>
          <cell r="T172">
            <v>3</v>
          </cell>
        </row>
        <row r="175">
          <cell r="E175">
            <v>14</v>
          </cell>
          <cell r="I175">
            <v>108</v>
          </cell>
          <cell r="L175">
            <v>15923</v>
          </cell>
          <cell r="P175">
            <v>882</v>
          </cell>
          <cell r="S175" t="str">
            <v>No</v>
          </cell>
          <cell r="T175">
            <v>1</v>
          </cell>
        </row>
        <row r="177">
          <cell r="E177">
            <v>8</v>
          </cell>
          <cell r="I177">
            <v>100</v>
          </cell>
          <cell r="L177">
            <v>12968</v>
          </cell>
          <cell r="P177">
            <v>841</v>
          </cell>
          <cell r="S177" t="str">
            <v>No</v>
          </cell>
          <cell r="T177">
            <v>1</v>
          </cell>
        </row>
      </sheetData>
      <sheetData sheetId="2">
        <row r="8">
          <cell r="G8">
            <v>78902</v>
          </cell>
        </row>
        <row r="9">
          <cell r="G9">
            <v>77406</v>
          </cell>
        </row>
        <row r="10">
          <cell r="G10">
            <v>11839</v>
          </cell>
        </row>
        <row r="12">
          <cell r="G12">
            <v>1395439</v>
          </cell>
        </row>
        <row r="13">
          <cell r="G13">
            <v>1148741</v>
          </cell>
        </row>
        <row r="15">
          <cell r="G15">
            <v>236.317701</v>
          </cell>
        </row>
        <row r="16">
          <cell r="G16">
            <v>1258.593597</v>
          </cell>
        </row>
        <row r="18">
          <cell r="G18">
            <v>1484076</v>
          </cell>
        </row>
        <row r="19">
          <cell r="G19">
            <v>1278789</v>
          </cell>
        </row>
        <row r="21">
          <cell r="G21">
            <v>227</v>
          </cell>
        </row>
        <row r="22">
          <cell r="G22">
            <v>81</v>
          </cell>
        </row>
        <row r="23">
          <cell r="G23">
            <v>44913</v>
          </cell>
        </row>
        <row r="24">
          <cell r="G24">
            <v>635.47159299999998</v>
          </cell>
        </row>
        <row r="25">
          <cell r="G25">
            <v>43355.504209999999</v>
          </cell>
        </row>
        <row r="26">
          <cell r="G26">
            <v>48755.971702000003</v>
          </cell>
        </row>
        <row r="28">
          <cell r="G28">
            <v>2594578</v>
          </cell>
        </row>
        <row r="29">
          <cell r="G29">
            <v>2732128</v>
          </cell>
        </row>
        <row r="31">
          <cell r="G31">
            <v>977735</v>
          </cell>
        </row>
        <row r="32">
          <cell r="G32">
            <v>2125287</v>
          </cell>
        </row>
        <row r="34">
          <cell r="G34">
            <v>1923026</v>
          </cell>
        </row>
        <row r="35">
          <cell r="G35">
            <v>3007706</v>
          </cell>
        </row>
        <row r="37">
          <cell r="G37">
            <v>31462</v>
          </cell>
        </row>
        <row r="38">
          <cell r="G38">
            <v>29729</v>
          </cell>
        </row>
        <row r="39">
          <cell r="G39">
            <v>1346326</v>
          </cell>
        </row>
        <row r="40">
          <cell r="G40">
            <v>1260913</v>
          </cell>
        </row>
        <row r="41">
          <cell r="G41">
            <v>8148.4342310000002</v>
          </cell>
        </row>
        <row r="42">
          <cell r="G42">
            <v>6948.505408</v>
          </cell>
        </row>
        <row r="43">
          <cell r="G43">
            <v>545</v>
          </cell>
        </row>
        <row r="44">
          <cell r="G44">
            <v>9852</v>
          </cell>
        </row>
        <row r="45">
          <cell r="G45">
            <v>10537</v>
          </cell>
        </row>
        <row r="47">
          <cell r="G47">
            <v>22888</v>
          </cell>
        </row>
        <row r="48">
          <cell r="G48">
            <v>2494</v>
          </cell>
        </row>
        <row r="50">
          <cell r="G50">
            <v>3153</v>
          </cell>
        </row>
        <row r="51">
          <cell r="G51">
            <v>0</v>
          </cell>
        </row>
        <row r="53">
          <cell r="G53">
            <v>1</v>
          </cell>
        </row>
        <row r="54">
          <cell r="G54">
            <v>9</v>
          </cell>
        </row>
        <row r="55">
          <cell r="G55">
            <v>32</v>
          </cell>
        </row>
        <row r="56">
          <cell r="G56">
            <v>96</v>
          </cell>
        </row>
        <row r="57">
          <cell r="G57">
            <v>5</v>
          </cell>
        </row>
        <row r="59">
          <cell r="G59">
            <v>626</v>
          </cell>
        </row>
        <row r="60">
          <cell r="G60">
            <v>191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  <cell r="T12" t="str">
            <v>No</v>
          </cell>
        </row>
        <row r="17">
          <cell r="E17">
            <v>9</v>
          </cell>
          <cell r="I17">
            <v>98</v>
          </cell>
          <cell r="L17">
            <v>14204</v>
          </cell>
          <cell r="P17">
            <v>769</v>
          </cell>
          <cell r="S17" t="str">
            <v>Yes</v>
          </cell>
          <cell r="T17" t="str">
            <v>No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  <cell r="T18" t="str">
            <v>No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  <cell r="T19" t="str">
            <v>No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  <cell r="T21" t="str">
            <v>No</v>
          </cell>
        </row>
        <row r="22">
          <cell r="E22">
            <v>28</v>
          </cell>
          <cell r="I22">
            <v>217</v>
          </cell>
          <cell r="L22">
            <v>37522</v>
          </cell>
          <cell r="P22">
            <v>2178</v>
          </cell>
          <cell r="S22" t="str">
            <v>Yes</v>
          </cell>
          <cell r="T22" t="str">
            <v>No</v>
          </cell>
        </row>
        <row r="23">
          <cell r="E23">
            <v>2</v>
          </cell>
          <cell r="L23">
            <v>2425</v>
          </cell>
          <cell r="P23">
            <v>114</v>
          </cell>
          <cell r="S23" t="str">
            <v>Yes</v>
          </cell>
          <cell r="T23" t="str">
            <v>No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  <cell r="T24" t="str">
            <v>No</v>
          </cell>
        </row>
        <row r="27">
          <cell r="E27">
            <v>20</v>
          </cell>
          <cell r="I27">
            <v>20</v>
          </cell>
          <cell r="L27">
            <v>6000</v>
          </cell>
          <cell r="P27">
            <v>363</v>
          </cell>
          <cell r="S27" t="str">
            <v>Yes</v>
          </cell>
          <cell r="T27" t="str">
            <v>No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  <cell r="T28" t="str">
            <v>No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  <cell r="T31" t="str">
            <v>No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  <cell r="S33" t="str">
            <v>Yes</v>
          </cell>
          <cell r="T33" t="str">
            <v>No</v>
          </cell>
        </row>
        <row r="34">
          <cell r="E34">
            <v>5</v>
          </cell>
          <cell r="L34">
            <v>939</v>
          </cell>
          <cell r="P34">
            <v>88</v>
          </cell>
          <cell r="S34" t="str">
            <v>Yes</v>
          </cell>
          <cell r="T34" t="str">
            <v>No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  <cell r="T35" t="str">
            <v>No</v>
          </cell>
        </row>
        <row r="38">
          <cell r="E38">
            <v>21</v>
          </cell>
          <cell r="I38">
            <v>141</v>
          </cell>
          <cell r="L38">
            <v>24926</v>
          </cell>
          <cell r="P38">
            <v>1463</v>
          </cell>
          <cell r="S38" t="str">
            <v>Yes</v>
          </cell>
          <cell r="T38" t="str">
            <v>No</v>
          </cell>
        </row>
      </sheetData>
      <sheetData sheetId="2">
        <row r="8">
          <cell r="E8">
            <v>3702</v>
          </cell>
        </row>
        <row r="9">
          <cell r="E9">
            <v>8584</v>
          </cell>
        </row>
        <row r="10">
          <cell r="E10">
            <v>54</v>
          </cell>
        </row>
        <row r="12">
          <cell r="E12">
            <v>61480</v>
          </cell>
        </row>
        <row r="13">
          <cell r="E13">
            <v>138767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51850</v>
          </cell>
        </row>
        <row r="19">
          <cell r="E19">
            <v>120723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1447</v>
          </cell>
        </row>
        <row r="38">
          <cell r="E38">
            <v>1306</v>
          </cell>
        </row>
        <row r="39">
          <cell r="E39">
            <v>109647</v>
          </cell>
        </row>
        <row r="40">
          <cell r="E40">
            <v>89252</v>
          </cell>
        </row>
        <row r="41">
          <cell r="E41">
            <v>753</v>
          </cell>
        </row>
        <row r="42">
          <cell r="E42">
            <v>667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  <row r="53">
          <cell r="E53">
            <v>1</v>
          </cell>
        </row>
        <row r="54">
          <cell r="E54">
            <v>0</v>
          </cell>
        </row>
        <row r="56">
          <cell r="E56">
            <v>0</v>
          </cell>
        </row>
        <row r="59">
          <cell r="E59">
            <v>281</v>
          </cell>
        </row>
        <row r="60">
          <cell r="E60">
            <v>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12">
          <cell r="E12">
            <v>1</v>
          </cell>
          <cell r="H12">
            <v>6</v>
          </cell>
        </row>
        <row r="17">
          <cell r="H17">
            <v>98</v>
          </cell>
        </row>
        <row r="18">
          <cell r="H18">
            <v>41</v>
          </cell>
        </row>
        <row r="19">
          <cell r="H19">
            <v>226</v>
          </cell>
        </row>
        <row r="21">
          <cell r="H21">
            <v>137</v>
          </cell>
        </row>
        <row r="22">
          <cell r="H22">
            <v>217</v>
          </cell>
        </row>
        <row r="24">
          <cell r="H24">
            <v>131</v>
          </cell>
        </row>
        <row r="27">
          <cell r="H27">
            <v>20</v>
          </cell>
        </row>
        <row r="28">
          <cell r="H28">
            <v>82</v>
          </cell>
        </row>
        <row r="31">
          <cell r="H31">
            <v>4</v>
          </cell>
        </row>
        <row r="33">
          <cell r="H33">
            <v>197</v>
          </cell>
        </row>
        <row r="34">
          <cell r="H34">
            <v>0</v>
          </cell>
        </row>
        <row r="35">
          <cell r="H35">
            <v>38</v>
          </cell>
        </row>
        <row r="38">
          <cell r="H38">
            <v>141</v>
          </cell>
        </row>
      </sheetData>
      <sheetData sheetId="2">
        <row r="7">
          <cell r="E7">
            <v>48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  <cell r="T43">
            <v>5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  <cell r="T45">
            <v>2</v>
          </cell>
        </row>
        <row r="47">
          <cell r="E47">
            <v>21</v>
          </cell>
          <cell r="I47">
            <v>111</v>
          </cell>
          <cell r="L47">
            <v>18960</v>
          </cell>
          <cell r="P47">
            <v>818</v>
          </cell>
          <cell r="S47" t="str">
            <v>Yes</v>
          </cell>
          <cell r="T47">
            <v>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  <cell r="S49" t="str">
            <v>Yes</v>
          </cell>
          <cell r="T49">
            <v>6</v>
          </cell>
        </row>
        <row r="51">
          <cell r="E51">
            <v>24</v>
          </cell>
          <cell r="I51">
            <v>523</v>
          </cell>
          <cell r="L51">
            <v>41271</v>
          </cell>
          <cell r="P51">
            <v>1395</v>
          </cell>
          <cell r="S51" t="str">
            <v>Yes</v>
          </cell>
          <cell r="T51">
            <v>3</v>
          </cell>
        </row>
        <row r="52">
          <cell r="E52">
            <v>25</v>
          </cell>
          <cell r="I52">
            <v>328</v>
          </cell>
          <cell r="L52">
            <v>64522</v>
          </cell>
          <cell r="P52">
            <v>2129</v>
          </cell>
          <cell r="S52" t="str">
            <v>Yes</v>
          </cell>
          <cell r="T52">
            <v>3</v>
          </cell>
        </row>
        <row r="53">
          <cell r="E53">
            <v>28</v>
          </cell>
          <cell r="I53">
            <v>140</v>
          </cell>
          <cell r="L53">
            <v>26776</v>
          </cell>
          <cell r="P53">
            <v>1136</v>
          </cell>
          <cell r="S53" t="str">
            <v>Yes</v>
          </cell>
          <cell r="T53">
            <v>2</v>
          </cell>
        </row>
        <row r="54">
          <cell r="E54">
            <v>0</v>
          </cell>
          <cell r="I54">
            <v>0</v>
          </cell>
          <cell r="L54">
            <v>0</v>
          </cell>
          <cell r="P54">
            <v>0</v>
          </cell>
          <cell r="S54" t="str">
            <v>Yes</v>
          </cell>
          <cell r="T54">
            <v>1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  <cell r="S55" t="str">
            <v>No</v>
          </cell>
          <cell r="T55">
            <v>0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  <cell r="S57" t="str">
            <v>Yes</v>
          </cell>
          <cell r="T57">
            <v>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  <cell r="S59" t="str">
            <v>Yes</v>
          </cell>
          <cell r="T59">
            <v>1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  <cell r="S60" t="str">
            <v>Yes</v>
          </cell>
          <cell r="T60">
            <v>4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  <cell r="S61" t="str">
            <v>Yes</v>
          </cell>
          <cell r="T61">
            <v>1</v>
          </cell>
        </row>
        <row r="64">
          <cell r="E64">
            <v>13</v>
          </cell>
          <cell r="I64">
            <v>43</v>
          </cell>
          <cell r="L64">
            <v>14040</v>
          </cell>
          <cell r="P64">
            <v>496</v>
          </cell>
          <cell r="S64" t="str">
            <v>Yes</v>
          </cell>
          <cell r="T64">
            <v>2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  <cell r="S65" t="str">
            <v>Yes</v>
          </cell>
          <cell r="T65">
            <v>2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  <cell r="S67" t="str">
            <v>Yes</v>
          </cell>
          <cell r="T67">
            <v>1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  <cell r="S68" t="str">
            <v>Yes</v>
          </cell>
          <cell r="T68">
            <v>1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  <cell r="S70" t="str">
            <v>Yes</v>
          </cell>
          <cell r="T70">
            <v>11</v>
          </cell>
        </row>
        <row r="71">
          <cell r="E71">
            <v>28</v>
          </cell>
          <cell r="I71">
            <v>115</v>
          </cell>
          <cell r="L71">
            <v>40361</v>
          </cell>
          <cell r="P71">
            <v>2241</v>
          </cell>
          <cell r="S71" t="str">
            <v>Yes</v>
          </cell>
          <cell r="T71">
            <v>3</v>
          </cell>
        </row>
        <row r="75">
          <cell r="E75">
            <v>65</v>
          </cell>
          <cell r="I75">
            <v>136</v>
          </cell>
          <cell r="L75">
            <v>37235</v>
          </cell>
          <cell r="P75">
            <v>2088</v>
          </cell>
          <cell r="S75" t="str">
            <v>Yes</v>
          </cell>
          <cell r="T75">
            <v>8</v>
          </cell>
        </row>
        <row r="191">
          <cell r="E191">
            <v>3</v>
          </cell>
          <cell r="I191">
            <v>78</v>
          </cell>
          <cell r="L191">
            <v>4335</v>
          </cell>
          <cell r="P191">
            <v>157</v>
          </cell>
          <cell r="S191">
            <v>0</v>
          </cell>
          <cell r="T191">
            <v>0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  <cell r="S193">
            <v>0</v>
          </cell>
          <cell r="T193">
            <v>0</v>
          </cell>
        </row>
        <row r="194">
          <cell r="E194">
            <v>3</v>
          </cell>
          <cell r="I194">
            <v>78</v>
          </cell>
          <cell r="L194">
            <v>4265</v>
          </cell>
          <cell r="P194">
            <v>139</v>
          </cell>
          <cell r="S194">
            <v>0</v>
          </cell>
          <cell r="T194">
            <v>0</v>
          </cell>
        </row>
        <row r="197">
          <cell r="E197">
            <v>3</v>
          </cell>
          <cell r="I197">
            <v>78</v>
          </cell>
          <cell r="L197">
            <v>3941</v>
          </cell>
          <cell r="P197">
            <v>156</v>
          </cell>
          <cell r="S197">
            <v>0</v>
          </cell>
          <cell r="T197">
            <v>0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  <cell r="S202">
            <v>0</v>
          </cell>
          <cell r="T202">
            <v>0</v>
          </cell>
        </row>
      </sheetData>
      <sheetData sheetId="2">
        <row r="8">
          <cell r="K8">
            <v>10742</v>
          </cell>
        </row>
        <row r="9">
          <cell r="K9">
            <v>22358</v>
          </cell>
        </row>
        <row r="10">
          <cell r="K10">
            <v>0</v>
          </cell>
        </row>
        <row r="12">
          <cell r="K12">
            <v>246402</v>
          </cell>
        </row>
        <row r="13">
          <cell r="K13">
            <v>553187</v>
          </cell>
        </row>
        <row r="15">
          <cell r="K15">
            <v>40.700000000000003</v>
          </cell>
        </row>
        <row r="16">
          <cell r="K16">
            <v>103.9</v>
          </cell>
        </row>
        <row r="18">
          <cell r="K18">
            <v>77577</v>
          </cell>
        </row>
        <row r="19">
          <cell r="K19">
            <v>106158</v>
          </cell>
        </row>
        <row r="21">
          <cell r="K21">
            <v>0</v>
          </cell>
        </row>
        <row r="22">
          <cell r="K22">
            <v>320</v>
          </cell>
        </row>
        <row r="23">
          <cell r="K23">
            <v>39454</v>
          </cell>
        </row>
        <row r="24">
          <cell r="K24">
            <v>429</v>
          </cell>
        </row>
        <row r="25">
          <cell r="K25">
            <v>412</v>
          </cell>
        </row>
        <row r="26">
          <cell r="K26">
            <v>283</v>
          </cell>
        </row>
        <row r="28">
          <cell r="K28">
            <v>36630</v>
          </cell>
        </row>
        <row r="29">
          <cell r="K29">
            <v>25731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35004</v>
          </cell>
        </row>
        <row r="35">
          <cell r="K35">
            <v>129396</v>
          </cell>
        </row>
        <row r="37">
          <cell r="K37">
            <v>8944</v>
          </cell>
        </row>
        <row r="38">
          <cell r="K38">
            <v>8643</v>
          </cell>
        </row>
        <row r="39">
          <cell r="K39">
            <v>1753959</v>
          </cell>
        </row>
        <row r="40">
          <cell r="K40">
            <v>1728054</v>
          </cell>
        </row>
        <row r="41">
          <cell r="K41">
            <v>5956</v>
          </cell>
        </row>
        <row r="42">
          <cell r="K42">
            <v>5432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  <row r="53">
          <cell r="K53">
            <v>1</v>
          </cell>
        </row>
        <row r="54">
          <cell r="K54">
            <v>6</v>
          </cell>
        </row>
        <row r="55">
          <cell r="K55">
            <v>14</v>
          </cell>
        </row>
        <row r="56">
          <cell r="K56">
            <v>38</v>
          </cell>
        </row>
        <row r="57">
          <cell r="K57">
            <v>7</v>
          </cell>
        </row>
        <row r="59">
          <cell r="K59">
            <v>483</v>
          </cell>
        </row>
        <row r="60">
          <cell r="K60">
            <v>103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7"/>
  <sheetViews>
    <sheetView topLeftCell="A31" zoomScale="90" zoomScaleNormal="90" workbookViewId="0">
      <selection activeCell="C49" sqref="C49"/>
    </sheetView>
  </sheetViews>
  <sheetFormatPr defaultRowHeight="12.75"/>
  <cols>
    <col min="1" max="1" width="58.7109375" customWidth="1"/>
    <col min="2" max="2" width="51.42578125" customWidth="1"/>
    <col min="3" max="3" width="48.28515625" customWidth="1"/>
    <col min="4" max="4" width="33.5703125" bestFit="1" customWidth="1"/>
  </cols>
  <sheetData>
    <row r="2" spans="1:3" ht="13.5" thickBot="1"/>
    <row r="3" spans="1:3">
      <c r="A3" s="83" t="s">
        <v>203</v>
      </c>
      <c r="B3" s="107" t="str">
        <f>'[1]1.RSP Districts '!P212</f>
        <v>Number of total districts/areas in the province/area</v>
      </c>
      <c r="C3" s="107" t="str">
        <f>'[1]1.RSP Districts '!A212</f>
        <v xml:space="preserve">Number of districts/areas having RSPs presence  </v>
      </c>
    </row>
    <row r="4" spans="1:3">
      <c r="A4" s="28" t="s">
        <v>161</v>
      </c>
      <c r="B4" s="107">
        <f>'1.RSP Districts '!R225</f>
        <v>30</v>
      </c>
      <c r="C4" s="107">
        <f>'1.RSP Districts '!A225</f>
        <v>20</v>
      </c>
    </row>
    <row r="5" spans="1:3">
      <c r="A5" s="28" t="s">
        <v>209</v>
      </c>
      <c r="B5" s="107">
        <f>'1.RSP Districts '!R226</f>
        <v>24</v>
      </c>
      <c r="C5" s="107">
        <f>'1.RSP Districts '!A226</f>
        <v>21</v>
      </c>
    </row>
    <row r="6" spans="1:3">
      <c r="A6" s="28" t="s">
        <v>162</v>
      </c>
      <c r="B6" s="107">
        <f>'1.RSP Districts '!R227</f>
        <v>23</v>
      </c>
      <c r="C6" s="107">
        <f>'1.RSP Districts '!A227</f>
        <v>22</v>
      </c>
    </row>
    <row r="7" spans="1:3">
      <c r="A7" s="28" t="s">
        <v>230</v>
      </c>
      <c r="B7" s="107">
        <f>'1.RSP Districts '!R228+'1.RSP Districts '!R224</f>
        <v>37</v>
      </c>
      <c r="C7" s="107">
        <f>'1.RSP Districts '!A228+'1.RSP Districts '!A224</f>
        <v>37</v>
      </c>
    </row>
    <row r="8" spans="1:3">
      <c r="A8" s="28" t="s">
        <v>273</v>
      </c>
      <c r="B8" s="107">
        <f>'1.RSP Districts '!R229</f>
        <v>10</v>
      </c>
      <c r="C8" s="107">
        <f>'1.RSP Districts '!A229</f>
        <v>10</v>
      </c>
    </row>
    <row r="9" spans="1:3">
      <c r="A9" s="28" t="s">
        <v>210</v>
      </c>
      <c r="B9" s="107">
        <f>'1.RSP Districts '!R230</f>
        <v>7</v>
      </c>
      <c r="C9" s="107">
        <f>'1.RSP Districts '!A230</f>
        <v>6</v>
      </c>
    </row>
    <row r="10" spans="1:3">
      <c r="A10" s="28" t="s">
        <v>294</v>
      </c>
      <c r="B10" s="107">
        <f>'1.RSP Districts '!R231</f>
        <v>13</v>
      </c>
      <c r="C10" s="107">
        <f>'1.RSP Districts '!A231</f>
        <v>5</v>
      </c>
    </row>
    <row r="11" spans="1:3">
      <c r="A11" s="108" t="s">
        <v>231</v>
      </c>
      <c r="B11">
        <f>SUM(B4:B10)</f>
        <v>144</v>
      </c>
      <c r="C11">
        <f>SUM(C4:C10)</f>
        <v>121</v>
      </c>
    </row>
    <row r="15" spans="1:3">
      <c r="A15" s="107" t="s">
        <v>203</v>
      </c>
      <c r="B15" s="107" t="s">
        <v>232</v>
      </c>
      <c r="C15" s="107" t="s">
        <v>233</v>
      </c>
    </row>
    <row r="16" spans="1:3">
      <c r="A16" s="107" t="s">
        <v>161</v>
      </c>
      <c r="B16" s="107">
        <f>'1.RSP Districts '!C225</f>
        <v>547</v>
      </c>
      <c r="C16" s="107">
        <f>'1.RSP Districts '!E225</f>
        <v>286</v>
      </c>
    </row>
    <row r="17" spans="1:4">
      <c r="A17" s="107" t="s">
        <v>209</v>
      </c>
      <c r="B17" s="107">
        <f>'1.RSP Districts '!C226</f>
        <v>964</v>
      </c>
      <c r="C17" s="107">
        <f>'1.RSP Districts '!E226</f>
        <v>559</v>
      </c>
    </row>
    <row r="18" spans="1:4">
      <c r="A18" s="107" t="s">
        <v>162</v>
      </c>
      <c r="B18" s="107">
        <f>'1.RSP Districts '!C227</f>
        <v>921</v>
      </c>
      <c r="C18" s="107">
        <f>'1.RSP Districts '!E227</f>
        <v>694</v>
      </c>
    </row>
    <row r="19" spans="1:4">
      <c r="A19" s="107" t="s">
        <v>230</v>
      </c>
      <c r="B19" s="107">
        <f>'1.RSP Districts '!C228+'1.RSP Districts '!C224</f>
        <v>2647</v>
      </c>
      <c r="C19" s="107">
        <f>'1.RSP Districts '!E228+'1.RSP Districts '!E224</f>
        <v>1819</v>
      </c>
    </row>
    <row r="20" spans="1:4">
      <c r="A20" s="107" t="s">
        <v>273</v>
      </c>
      <c r="B20" s="107">
        <f>'1.RSP Districts '!C229</f>
        <v>196</v>
      </c>
      <c r="C20" s="107">
        <f>'1.RSP Districts '!E229</f>
        <v>181</v>
      </c>
    </row>
    <row r="21" spans="1:4">
      <c r="A21" s="107" t="s">
        <v>210</v>
      </c>
      <c r="B21" s="107">
        <f>'1.RSP Districts '!C230</f>
        <v>103</v>
      </c>
      <c r="C21" s="107">
        <f>'1.RSP Districts '!E230</f>
        <v>94</v>
      </c>
    </row>
    <row r="22" spans="1:4">
      <c r="A22" s="107" t="s">
        <v>294</v>
      </c>
      <c r="B22" s="107">
        <f>'1.RSP Districts '!C231</f>
        <v>190</v>
      </c>
      <c r="C22" s="107">
        <f>'1.RSP Districts '!E231</f>
        <v>15</v>
      </c>
    </row>
    <row r="23" spans="1:4">
      <c r="A23" s="107" t="s">
        <v>204</v>
      </c>
      <c r="B23" s="107">
        <f>SUM(B16:B22)</f>
        <v>5568</v>
      </c>
      <c r="C23" s="107">
        <f>SUM(C16:C22)</f>
        <v>3648</v>
      </c>
    </row>
    <row r="24" spans="1:4" ht="13.5" thickBot="1">
      <c r="C24" s="138">
        <f>C23/B23%</f>
        <v>65.517241379310349</v>
      </c>
    </row>
    <row r="25" spans="1:4">
      <c r="B25" s="109"/>
    </row>
    <row r="26" spans="1:4">
      <c r="B26" s="110"/>
    </row>
    <row r="27" spans="1:4" ht="12.75" customHeight="1">
      <c r="A27" s="111" t="s">
        <v>203</v>
      </c>
      <c r="B27" s="107" t="s">
        <v>244</v>
      </c>
      <c r="C27" s="107" t="s">
        <v>234</v>
      </c>
      <c r="D27" s="107" t="s">
        <v>243</v>
      </c>
    </row>
    <row r="28" spans="1:4">
      <c r="A28" s="28" t="s">
        <v>161</v>
      </c>
      <c r="B28" s="112">
        <f>D28/C28%</f>
        <v>41.389059815203069</v>
      </c>
      <c r="C28" s="113">
        <f>'1.RSP Districts '!J225</f>
        <v>814191</v>
      </c>
      <c r="D28" s="113">
        <f>'1.RSP Districts '!L225</f>
        <v>336986</v>
      </c>
    </row>
    <row r="29" spans="1:4">
      <c r="A29" s="28" t="s">
        <v>209</v>
      </c>
      <c r="B29" s="112">
        <f t="shared" ref="B29:B35" si="0">D29/C29%</f>
        <v>51.625373563948216</v>
      </c>
      <c r="C29" s="113">
        <f>'1.RSP Districts '!J226</f>
        <v>1889904</v>
      </c>
      <c r="D29" s="113">
        <f>'1.RSP Districts '!L226</f>
        <v>975670</v>
      </c>
    </row>
    <row r="30" spans="1:4">
      <c r="A30" s="28" t="s">
        <v>162</v>
      </c>
      <c r="B30" s="112">
        <f t="shared" si="0"/>
        <v>42.648183003070791</v>
      </c>
      <c r="C30" s="113">
        <f>'1.RSP Districts '!J227</f>
        <v>2816903.1255411254</v>
      </c>
      <c r="D30" s="113">
        <f>'1.RSP Districts '!L227</f>
        <v>1201358</v>
      </c>
    </row>
    <row r="31" spans="1:4">
      <c r="A31" s="28" t="s">
        <v>230</v>
      </c>
      <c r="B31" s="112">
        <f t="shared" si="0"/>
        <v>50.511474718385479</v>
      </c>
      <c r="C31" s="113">
        <f>'1.RSP Districts '!J228+'1.RSP Districts '!J224</f>
        <v>6107707.2431565113</v>
      </c>
      <c r="D31" s="113">
        <f>'1.RSP Districts '!L228+'1.RSP Districts '!L224</f>
        <v>3085093</v>
      </c>
    </row>
    <row r="32" spans="1:4">
      <c r="A32" s="28" t="s">
        <v>273</v>
      </c>
      <c r="B32" s="112">
        <f t="shared" si="0"/>
        <v>74.432979743205493</v>
      </c>
      <c r="C32" s="113">
        <f>'1.RSP Districts '!J229</f>
        <v>398969.65165781637</v>
      </c>
      <c r="D32" s="113">
        <f>'1.RSP Districts '!L229</f>
        <v>296965</v>
      </c>
    </row>
    <row r="33" spans="1:5">
      <c r="A33" s="28" t="s">
        <v>210</v>
      </c>
      <c r="B33" s="112">
        <f t="shared" si="0"/>
        <v>72.547740870447399</v>
      </c>
      <c r="C33" s="113">
        <f>'1.RSP Districts '!J230</f>
        <v>108649.83396348439</v>
      </c>
      <c r="D33" s="113">
        <f>'1.RSP Districts '!L230</f>
        <v>78823</v>
      </c>
    </row>
    <row r="34" spans="1:5">
      <c r="A34" s="28" t="s">
        <v>294</v>
      </c>
      <c r="B34" s="112">
        <f t="shared" si="0"/>
        <v>5.5268494179179246</v>
      </c>
      <c r="C34" s="113">
        <f>'1.RSP Districts '!J231</f>
        <v>343649.6738707067</v>
      </c>
      <c r="D34" s="113">
        <f>'1.RSP Districts '!L231</f>
        <v>18993</v>
      </c>
    </row>
    <row r="35" spans="1:5">
      <c r="A35" s="114" t="s">
        <v>16</v>
      </c>
      <c r="B35" s="112">
        <f t="shared" si="0"/>
        <v>48.028046743693793</v>
      </c>
      <c r="C35" s="113">
        <f>SUM(C28:C34)</f>
        <v>12479974.528189642</v>
      </c>
      <c r="D35" s="113">
        <f>SUM(D28:D34)</f>
        <v>5993888</v>
      </c>
      <c r="E35" s="84">
        <f>D35/1000000</f>
        <v>5.9938880000000001</v>
      </c>
    </row>
    <row r="36" spans="1:5">
      <c r="D36" s="84">
        <f>D35*6.5</f>
        <v>38960272</v>
      </c>
    </row>
    <row r="37" spans="1:5">
      <c r="D37" s="138">
        <f>D36/1000000</f>
        <v>38.960272000000003</v>
      </c>
    </row>
  </sheetData>
  <phoneticPr fontId="3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I7" sqref="I7"/>
    </sheetView>
  </sheetViews>
  <sheetFormatPr defaultRowHeight="15"/>
  <cols>
    <col min="1" max="16384" width="9.140625" style="152"/>
  </cols>
  <sheetData>
    <row r="1" spans="2:6" ht="45">
      <c r="B1" s="195" t="s">
        <v>262</v>
      </c>
      <c r="C1" s="195" t="s">
        <v>263</v>
      </c>
      <c r="D1" s="195" t="s">
        <v>264</v>
      </c>
      <c r="E1" s="195" t="s">
        <v>265</v>
      </c>
      <c r="F1" s="195" t="s">
        <v>309</v>
      </c>
    </row>
    <row r="2" spans="2:6">
      <c r="B2" s="250">
        <v>2014</v>
      </c>
      <c r="C2" s="250">
        <v>101.048275</v>
      </c>
      <c r="D2" s="250">
        <v>96.059252000000001</v>
      </c>
      <c r="E2" s="250">
        <v>105.68410900000001</v>
      </c>
      <c r="F2" s="250">
        <v>255</v>
      </c>
    </row>
    <row r="3" spans="2:6">
      <c r="B3" s="250">
        <v>2013</v>
      </c>
      <c r="C3" s="250">
        <v>101.611681</v>
      </c>
      <c r="D3" s="250">
        <v>97.246966999999998</v>
      </c>
      <c r="E3" s="250">
        <v>108.599626</v>
      </c>
      <c r="F3" s="250">
        <v>255</v>
      </c>
    </row>
    <row r="4" spans="2:6">
      <c r="B4" s="196">
        <v>2012</v>
      </c>
      <c r="C4" s="196">
        <v>93.386073999999994</v>
      </c>
      <c r="D4" s="196">
        <v>89.944794999999999</v>
      </c>
      <c r="E4" s="196">
        <v>98.104622000000006</v>
      </c>
      <c r="F4" s="196">
        <v>256</v>
      </c>
    </row>
    <row r="5" spans="2:6">
      <c r="B5" s="196">
        <v>2011</v>
      </c>
      <c r="C5" s="196">
        <v>86.359025000000003</v>
      </c>
      <c r="D5" s="196">
        <v>84.211183000000005</v>
      </c>
      <c r="E5" s="196">
        <v>90.074523999999997</v>
      </c>
      <c r="F5" s="196">
        <v>257</v>
      </c>
    </row>
    <row r="6" spans="2:6">
      <c r="B6" s="196">
        <v>2010</v>
      </c>
      <c r="C6" s="196">
        <v>85.237962999999993</v>
      </c>
      <c r="D6" s="196">
        <v>83.613068999999996</v>
      </c>
      <c r="E6" s="196">
        <v>87.779572000000002</v>
      </c>
      <c r="F6" s="196">
        <v>258</v>
      </c>
    </row>
    <row r="7" spans="2:6">
      <c r="B7" s="196">
        <v>2009</v>
      </c>
      <c r="C7" s="196">
        <v>81.598060000000004</v>
      </c>
      <c r="D7" s="196">
        <v>76.1631</v>
      </c>
      <c r="E7" s="196">
        <v>84.610006999999996</v>
      </c>
      <c r="F7" s="196">
        <v>256</v>
      </c>
    </row>
    <row r="8" spans="2:6">
      <c r="B8" s="196">
        <v>2008</v>
      </c>
      <c r="C8" s="196">
        <v>70.619783999999996</v>
      </c>
      <c r="D8" s="196">
        <v>61.810915000000001</v>
      </c>
      <c r="E8" s="196">
        <v>82.574243999999993</v>
      </c>
      <c r="F8" s="196">
        <v>256</v>
      </c>
    </row>
    <row r="9" spans="2:6">
      <c r="B9" s="196">
        <v>2007</v>
      </c>
      <c r="C9" s="196">
        <v>60.674821000000001</v>
      </c>
      <c r="D9" s="196">
        <v>59.944178000000001</v>
      </c>
      <c r="E9" s="196">
        <v>61.566172999999999</v>
      </c>
      <c r="F9" s="196">
        <v>255</v>
      </c>
    </row>
    <row r="10" spans="2:6">
      <c r="B10" s="196">
        <v>2006</v>
      </c>
      <c r="C10" s="196">
        <v>60.263894999999998</v>
      </c>
      <c r="D10" s="196">
        <v>59.738346</v>
      </c>
      <c r="E10" s="196">
        <v>60.957571000000002</v>
      </c>
      <c r="F10" s="196">
        <v>255</v>
      </c>
    </row>
    <row r="11" spans="2:6">
      <c r="B11" s="196">
        <v>2005</v>
      </c>
      <c r="C11" s="196">
        <v>59.604984999999999</v>
      </c>
      <c r="D11" s="196">
        <v>58.578228000000003</v>
      </c>
      <c r="E11" s="196">
        <v>60.216240999999997</v>
      </c>
      <c r="F11" s="196">
        <v>257</v>
      </c>
    </row>
    <row r="12" spans="2:6">
      <c r="B12" s="196">
        <v>2004</v>
      </c>
      <c r="C12" s="196">
        <v>58.361262000000004</v>
      </c>
      <c r="D12" s="196">
        <v>55.222501999999999</v>
      </c>
      <c r="E12" s="196">
        <v>61.159398000000003</v>
      </c>
      <c r="F12" s="196">
        <v>259</v>
      </c>
    </row>
    <row r="13" spans="2:6">
      <c r="B13" s="196">
        <v>2003</v>
      </c>
      <c r="C13" s="196">
        <v>57.814433999999999</v>
      </c>
      <c r="D13" s="196">
        <v>54.944012999999998</v>
      </c>
      <c r="E13" s="196">
        <v>61.325057999999999</v>
      </c>
      <c r="F13" s="196">
        <v>255</v>
      </c>
    </row>
    <row r="14" spans="2:6">
      <c r="B14" s="196">
        <v>2002</v>
      </c>
      <c r="C14" s="196">
        <v>59.494475000000001</v>
      </c>
      <c r="D14" s="196">
        <v>57.631506000000002</v>
      </c>
      <c r="E14" s="196">
        <v>62.846119999999999</v>
      </c>
      <c r="F14" s="196">
        <v>255</v>
      </c>
    </row>
    <row r="15" spans="2:6">
      <c r="B15" s="196">
        <v>2001</v>
      </c>
      <c r="C15" s="196">
        <v>62.379555000000003</v>
      </c>
      <c r="D15" s="196">
        <v>58.507081999999997</v>
      </c>
      <c r="E15" s="196">
        <v>67.242580000000004</v>
      </c>
      <c r="F15" s="196">
        <v>255</v>
      </c>
    </row>
    <row r="16" spans="2:6">
      <c r="B16" s="196">
        <v>2000</v>
      </c>
      <c r="C16" s="196">
        <v>55.696345999999998</v>
      </c>
      <c r="D16" s="196">
        <v>51.611866999999997</v>
      </c>
      <c r="E16" s="196">
        <v>61.066758</v>
      </c>
      <c r="F16" s="196">
        <v>255</v>
      </c>
    </row>
    <row r="17" spans="2:6">
      <c r="B17" s="196">
        <v>1999</v>
      </c>
      <c r="C17" s="196">
        <v>54.259295999999999</v>
      </c>
      <c r="D17" s="196">
        <v>48.986370999999998</v>
      </c>
      <c r="E17" s="196">
        <v>57.668429000000003</v>
      </c>
      <c r="F17" s="196">
        <v>261</v>
      </c>
    </row>
    <row r="18" spans="2:6">
      <c r="B18" s="196">
        <v>1998</v>
      </c>
      <c r="C18" s="196">
        <v>44.433608999999997</v>
      </c>
      <c r="D18" s="196">
        <v>41.037025999999997</v>
      </c>
      <c r="E18" s="196">
        <v>46.483421999999997</v>
      </c>
      <c r="F18" s="196">
        <v>261</v>
      </c>
    </row>
    <row r="19" spans="2:6">
      <c r="B19" s="196">
        <v>1997</v>
      </c>
      <c r="C19" s="196">
        <v>45.458930000000002</v>
      </c>
      <c r="D19" s="196">
        <v>40.938361</v>
      </c>
      <c r="E19" s="196">
        <v>49.096769000000002</v>
      </c>
      <c r="F19" s="196">
        <v>261</v>
      </c>
    </row>
    <row r="20" spans="2:6">
      <c r="B20" s="196">
        <v>1996</v>
      </c>
      <c r="C20" s="196">
        <v>37.354165000000002</v>
      </c>
      <c r="D20" s="196">
        <v>35.986679000000002</v>
      </c>
      <c r="E20" s="196">
        <v>38.315688999999999</v>
      </c>
      <c r="F20" s="196">
        <v>262</v>
      </c>
    </row>
    <row r="21" spans="2:6">
      <c r="B21" s="196">
        <v>1995</v>
      </c>
      <c r="C21" s="196">
        <v>29.771429999999999</v>
      </c>
      <c r="D21" s="196">
        <v>28.67651</v>
      </c>
      <c r="E21" s="196">
        <v>31.851133000000001</v>
      </c>
      <c r="F21" s="196">
        <v>260</v>
      </c>
    </row>
    <row r="22" spans="2:6">
      <c r="B22" s="196">
        <v>1994</v>
      </c>
      <c r="C22" s="196">
        <v>28.730891</v>
      </c>
      <c r="D22" s="196">
        <v>26.551717</v>
      </c>
      <c r="E22" s="196">
        <v>30.902296</v>
      </c>
      <c r="F22" s="196">
        <v>260</v>
      </c>
    </row>
    <row r="23" spans="2:6">
      <c r="B23" s="196">
        <v>1993</v>
      </c>
      <c r="C23" s="196">
        <v>29.073046000000001</v>
      </c>
      <c r="D23" s="196">
        <v>27.350740999999999</v>
      </c>
      <c r="E23" s="196">
        <v>30.578679999999999</v>
      </c>
      <c r="F23" s="196">
        <v>261</v>
      </c>
    </row>
    <row r="24" spans="2:6">
      <c r="B24" s="196">
        <v>1992</v>
      </c>
      <c r="C24" s="196">
        <v>25.990867000000001</v>
      </c>
      <c r="D24" s="196">
        <v>23.064816</v>
      </c>
      <c r="E24" s="196">
        <v>27.862773000000001</v>
      </c>
      <c r="F24" s="196">
        <v>262</v>
      </c>
    </row>
    <row r="25" spans="2:6">
      <c r="B25" s="196">
        <v>1991</v>
      </c>
      <c r="C25" s="196">
        <v>26.268179</v>
      </c>
      <c r="D25" s="196">
        <v>23.042377999999999</v>
      </c>
      <c r="E25" s="196">
        <v>28.965627000000001</v>
      </c>
      <c r="F25" s="196">
        <v>261</v>
      </c>
    </row>
    <row r="26" spans="2:6">
      <c r="B26" s="196">
        <v>1990</v>
      </c>
      <c r="C26" s="196">
        <v>20.443417</v>
      </c>
      <c r="D26" s="196">
        <v>18.601814999999998</v>
      </c>
      <c r="E26" s="196">
        <v>21.908442000000001</v>
      </c>
      <c r="F26" s="196">
        <v>261</v>
      </c>
    </row>
    <row r="27" spans="2:6">
      <c r="B27" s="196">
        <v>1989</v>
      </c>
      <c r="C27" s="196">
        <v>21.763497000000001</v>
      </c>
      <c r="D27" s="196">
        <v>19.873556000000001</v>
      </c>
      <c r="E27" s="196">
        <v>23.588132000000002</v>
      </c>
      <c r="F27" s="196">
        <v>260</v>
      </c>
    </row>
    <row r="28" spans="2:6">
      <c r="B28" s="196">
        <v>1988</v>
      </c>
      <c r="C28" s="196">
        <v>19.843609000000001</v>
      </c>
      <c r="D28" s="196">
        <v>17.989044</v>
      </c>
      <c r="E28" s="196">
        <v>21.567381000000001</v>
      </c>
      <c r="F28" s="196">
        <v>261</v>
      </c>
    </row>
    <row r="29" spans="2:6">
      <c r="B29" s="196">
        <v>1987</v>
      </c>
      <c r="C29" s="196">
        <v>16.139358999999999</v>
      </c>
      <c r="D29" s="196">
        <v>14.27558</v>
      </c>
      <c r="E29" s="196">
        <v>17.398800000000001</v>
      </c>
      <c r="F29" s="196">
        <v>261</v>
      </c>
    </row>
    <row r="30" spans="2:6">
      <c r="B30" s="196">
        <v>1986</v>
      </c>
      <c r="C30" s="196">
        <v>15.041876</v>
      </c>
      <c r="D30" s="196">
        <v>13.796678999999999</v>
      </c>
      <c r="E30" s="196">
        <v>16.734551</v>
      </c>
      <c r="F30" s="196">
        <v>261</v>
      </c>
    </row>
    <row r="31" spans="2:6">
      <c r="B31" s="196">
        <v>1985</v>
      </c>
      <c r="C31" s="196">
        <v>14.893646</v>
      </c>
      <c r="D31" s="196">
        <v>12.690146</v>
      </c>
      <c r="E31" s="196">
        <v>17.614874</v>
      </c>
      <c r="F31" s="196">
        <v>261</v>
      </c>
    </row>
    <row r="32" spans="2:6">
      <c r="B32" s="196">
        <v>1984</v>
      </c>
      <c r="C32" s="196">
        <v>14.811271</v>
      </c>
      <c r="D32" s="196">
        <v>13.243691999999999</v>
      </c>
      <c r="E32" s="196">
        <v>16.468526000000001</v>
      </c>
      <c r="F32" s="196">
        <v>261</v>
      </c>
    </row>
    <row r="33" spans="1:6">
      <c r="B33" s="196">
        <v>1983</v>
      </c>
      <c r="C33" s="196">
        <v>14.288429000000001</v>
      </c>
      <c r="D33" s="196">
        <v>12.902532000000001</v>
      </c>
      <c r="E33" s="196">
        <v>15.589173000000001</v>
      </c>
      <c r="F33" s="196">
        <v>260</v>
      </c>
    </row>
    <row r="34" spans="1:6">
      <c r="A34" s="152" t="s">
        <v>266</v>
      </c>
      <c r="B34" s="152" t="s">
        <v>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Y263"/>
  <sheetViews>
    <sheetView view="pageBreakPreview" zoomScale="85" zoomScaleNormal="87" zoomScaleSheetLayoutView="85" workbookViewId="0">
      <pane xSplit="2" ySplit="3" topLeftCell="C58" activePane="bottomRight" state="frozen"/>
      <selection activeCell="G51" sqref="G51"/>
      <selection pane="topRight" activeCell="G51" sqref="G51"/>
      <selection pane="bottomLeft" activeCell="G51" sqref="G51"/>
      <selection pane="bottomRight" activeCell="E76" sqref="E76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21" customWidth="1"/>
    <col min="10" max="10" width="20.85546875" style="11" customWidth="1"/>
    <col min="11" max="14" width="15.5703125" style="9" customWidth="1"/>
    <col min="15" max="17" width="15.5703125" style="11" customWidth="1"/>
    <col min="18" max="18" width="13" style="3" bestFit="1" customWidth="1"/>
    <col min="19" max="20" width="13" style="3" customWidth="1"/>
    <col min="21" max="16384" width="9.140625" style="1"/>
  </cols>
  <sheetData>
    <row r="1" spans="1:25" thickBot="1">
      <c r="A1" s="349" t="s">
        <v>338</v>
      </c>
      <c r="B1" s="349"/>
      <c r="C1" s="349"/>
      <c r="D1" s="349"/>
      <c r="E1" s="349"/>
      <c r="F1" s="349"/>
      <c r="G1" s="349"/>
      <c r="H1" s="350"/>
      <c r="I1" s="350"/>
      <c r="J1" s="349"/>
      <c r="K1" s="349"/>
      <c r="L1" s="349"/>
      <c r="M1" s="349"/>
      <c r="N1" s="349"/>
      <c r="O1" s="349"/>
      <c r="P1" s="349"/>
      <c r="Q1" s="349"/>
      <c r="R1" s="349"/>
      <c r="S1" s="311"/>
      <c r="T1" s="311"/>
    </row>
    <row r="2" spans="1:25" ht="53.25" customHeight="1">
      <c r="A2" s="351" t="s">
        <v>27</v>
      </c>
      <c r="B2" s="353" t="s">
        <v>28</v>
      </c>
      <c r="C2" s="353" t="s">
        <v>199</v>
      </c>
      <c r="D2" s="345" t="s">
        <v>240</v>
      </c>
      <c r="E2" s="345"/>
      <c r="F2" s="345"/>
      <c r="G2" s="346"/>
      <c r="H2" s="347" t="s">
        <v>323</v>
      </c>
      <c r="I2" s="357" t="s">
        <v>327</v>
      </c>
      <c r="J2" s="353" t="s">
        <v>30</v>
      </c>
      <c r="K2" s="345" t="s">
        <v>241</v>
      </c>
      <c r="L2" s="345"/>
      <c r="M2" s="345"/>
      <c r="N2" s="346"/>
      <c r="O2" s="353" t="s">
        <v>274</v>
      </c>
      <c r="P2" s="353"/>
      <c r="Q2" s="353"/>
      <c r="R2" s="355" t="s">
        <v>29</v>
      </c>
      <c r="S2" s="343" t="s">
        <v>339</v>
      </c>
      <c r="T2" s="341" t="s">
        <v>340</v>
      </c>
    </row>
    <row r="3" spans="1:25" ht="49.5" customHeight="1" thickBot="1">
      <c r="A3" s="352"/>
      <c r="B3" s="354"/>
      <c r="C3" s="354"/>
      <c r="D3" s="77" t="s">
        <v>322</v>
      </c>
      <c r="E3" s="118" t="s">
        <v>325</v>
      </c>
      <c r="F3" s="77" t="s">
        <v>219</v>
      </c>
      <c r="G3" s="77" t="s">
        <v>326</v>
      </c>
      <c r="H3" s="348"/>
      <c r="I3" s="358"/>
      <c r="J3" s="354"/>
      <c r="K3" s="77" t="s">
        <v>322</v>
      </c>
      <c r="L3" s="118" t="s">
        <v>325</v>
      </c>
      <c r="M3" s="77" t="s">
        <v>219</v>
      </c>
      <c r="N3" s="77" t="s">
        <v>326</v>
      </c>
      <c r="O3" s="77" t="s">
        <v>322</v>
      </c>
      <c r="P3" s="118" t="s">
        <v>325</v>
      </c>
      <c r="Q3" s="77" t="s">
        <v>219</v>
      </c>
      <c r="R3" s="356"/>
      <c r="S3" s="344"/>
      <c r="T3" s="342"/>
      <c r="U3" s="1">
        <v>1</v>
      </c>
    </row>
    <row r="4" spans="1:25" ht="6.75" customHeight="1" thickBot="1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23">
        <f>'[2]1.RSP Districts '!S4</f>
        <v>0</v>
      </c>
      <c r="T4" s="23">
        <f>'[2]1.RSP Districts '!T4</f>
        <v>0</v>
      </c>
      <c r="U4" s="1">
        <v>1</v>
      </c>
    </row>
    <row r="5" spans="1:25" ht="21.75" customHeight="1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19"/>
      <c r="S5" s="334"/>
      <c r="T5" s="335"/>
      <c r="U5" s="1">
        <v>1</v>
      </c>
    </row>
    <row r="6" spans="1:25" thickBot="1">
      <c r="A6" s="32">
        <v>1</v>
      </c>
      <c r="B6" s="33" t="s">
        <v>32</v>
      </c>
      <c r="C6" s="34">
        <v>12</v>
      </c>
      <c r="D6" s="34">
        <v>12</v>
      </c>
      <c r="E6" s="34">
        <f>'[3]1.RSP Districts '!E6</f>
        <v>12</v>
      </c>
      <c r="F6" s="119">
        <f>(E6-D6)/D6%</f>
        <v>0</v>
      </c>
      <c r="G6" s="119">
        <f>E6/C6%</f>
        <v>100</v>
      </c>
      <c r="H6" s="34">
        <v>722</v>
      </c>
      <c r="I6" s="34">
        <f>'[3]1.RSP Districts '!I6</f>
        <v>722</v>
      </c>
      <c r="J6" s="34">
        <v>43884</v>
      </c>
      <c r="K6" s="34">
        <v>26391</v>
      </c>
      <c r="L6" s="34">
        <f>'[3]1.RSP Districts '!L6</f>
        <v>26391</v>
      </c>
      <c r="M6" s="119">
        <f>(L6-K6)/K6%</f>
        <v>0</v>
      </c>
      <c r="N6" s="119">
        <f>L6/J6%</f>
        <v>60.13809133169265</v>
      </c>
      <c r="O6" s="34">
        <v>1605</v>
      </c>
      <c r="P6" s="34">
        <f>'[3]1.RSP Districts '!P6</f>
        <v>1605</v>
      </c>
      <c r="Q6" s="119">
        <f>(P6-O6)/O6%</f>
        <v>0</v>
      </c>
      <c r="R6" s="312" t="s">
        <v>5</v>
      </c>
      <c r="S6" s="34" t="str">
        <f>'[3]1.RSP Districts '!S6</f>
        <v>Yes</v>
      </c>
      <c r="T6" s="34">
        <f>'[3]1.RSP Districts '!T6</f>
        <v>1</v>
      </c>
      <c r="U6" s="1">
        <v>1</v>
      </c>
      <c r="Y6" s="201" t="e">
        <f>I6-'[4]1.RSP Districts '!I6</f>
        <v>#REF!</v>
      </c>
    </row>
    <row r="7" spans="1:25" s="4" customFormat="1" ht="15.75" thickBot="1">
      <c r="A7" s="133">
        <f>A6</f>
        <v>1</v>
      </c>
      <c r="B7" s="135" t="s">
        <v>33</v>
      </c>
      <c r="C7" s="49">
        <f>C6</f>
        <v>12</v>
      </c>
      <c r="D7" s="49">
        <f>D6</f>
        <v>12</v>
      </c>
      <c r="E7" s="49">
        <f>E6</f>
        <v>12</v>
      </c>
      <c r="F7" s="132">
        <f>(E7-D7)/D7%</f>
        <v>0</v>
      </c>
      <c r="G7" s="132">
        <f>E7/C7%</f>
        <v>100</v>
      </c>
      <c r="H7" s="132">
        <f>H6</f>
        <v>722</v>
      </c>
      <c r="I7" s="132">
        <f>I6</f>
        <v>722</v>
      </c>
      <c r="J7" s="49">
        <f>J6</f>
        <v>43884</v>
      </c>
      <c r="K7" s="49">
        <f>K6</f>
        <v>26391</v>
      </c>
      <c r="L7" s="49">
        <f>L6</f>
        <v>26391</v>
      </c>
      <c r="M7" s="132">
        <f>(L7-K7)/K7%</f>
        <v>0</v>
      </c>
      <c r="N7" s="132">
        <f>L7/J7%</f>
        <v>60.13809133169265</v>
      </c>
      <c r="O7" s="49">
        <f>O6</f>
        <v>1605</v>
      </c>
      <c r="P7" s="49">
        <f>P6</f>
        <v>1605</v>
      </c>
      <c r="Q7" s="132">
        <f>(P7-O7)/O7%</f>
        <v>0</v>
      </c>
      <c r="R7" s="313"/>
      <c r="S7" s="336"/>
      <c r="T7" s="134"/>
      <c r="U7" s="1">
        <v>1</v>
      </c>
    </row>
    <row r="8" spans="1:25" ht="4.5" customHeight="1" thickBot="1">
      <c r="A8" s="12"/>
      <c r="B8" s="13"/>
      <c r="C8" s="51"/>
      <c r="D8" s="25"/>
      <c r="E8" s="25"/>
      <c r="F8" s="89"/>
      <c r="G8" s="89"/>
      <c r="H8" s="89"/>
      <c r="I8" s="89"/>
      <c r="J8" s="51"/>
      <c r="K8" s="25"/>
      <c r="L8" s="25"/>
      <c r="M8" s="25"/>
      <c r="N8" s="25"/>
      <c r="O8" s="25"/>
      <c r="P8" s="25"/>
      <c r="Q8" s="25"/>
      <c r="R8" s="14"/>
      <c r="S8" s="333"/>
      <c r="T8" s="333"/>
      <c r="U8" s="1">
        <v>1</v>
      </c>
    </row>
    <row r="9" spans="1:25" ht="14.25">
      <c r="A9" s="17" t="s">
        <v>34</v>
      </c>
      <c r="B9" s="18"/>
      <c r="C9" s="19"/>
      <c r="D9" s="26"/>
      <c r="E9" s="26"/>
      <c r="F9" s="90"/>
      <c r="G9" s="90"/>
      <c r="H9" s="90"/>
      <c r="I9" s="90"/>
      <c r="J9" s="19"/>
      <c r="K9" s="26"/>
      <c r="L9" s="26"/>
      <c r="M9" s="26"/>
      <c r="N9" s="26"/>
      <c r="O9" s="26"/>
      <c r="P9" s="26"/>
      <c r="Q9" s="26"/>
      <c r="R9" s="19"/>
      <c r="S9" s="326"/>
      <c r="T9" s="326"/>
      <c r="U9" s="1">
        <v>1</v>
      </c>
    </row>
    <row r="10" spans="1:25" ht="14.25">
      <c r="A10" s="21">
        <v>1</v>
      </c>
      <c r="B10" s="22" t="s">
        <v>35</v>
      </c>
      <c r="C10" s="23">
        <v>8</v>
      </c>
      <c r="D10" s="34">
        <v>8</v>
      </c>
      <c r="E10" s="34">
        <f>'[3]1.RSP Districts '!E10</f>
        <v>8</v>
      </c>
      <c r="F10" s="88">
        <f>(E10-D10)/D10%</f>
        <v>0</v>
      </c>
      <c r="G10" s="88">
        <f t="shared" ref="G10:G39" si="0">E10/C10%</f>
        <v>100</v>
      </c>
      <c r="H10" s="34">
        <v>118</v>
      </c>
      <c r="I10" s="34">
        <f>'[3]1.RSP Districts '!I10</f>
        <v>118</v>
      </c>
      <c r="J10" s="23">
        <v>22144</v>
      </c>
      <c r="K10" s="34">
        <v>9890</v>
      </c>
      <c r="L10" s="34">
        <f>'[3]1.RSP Districts '!L10</f>
        <v>10079</v>
      </c>
      <c r="M10" s="88">
        <f>(L10-K10)/K10%</f>
        <v>1.9110212335692618</v>
      </c>
      <c r="N10" s="88">
        <f>L10/J10%</f>
        <v>45.515715317919074</v>
      </c>
      <c r="O10" s="34">
        <v>598</v>
      </c>
      <c r="P10" s="34">
        <f>'[3]1.RSP Districts '!P10</f>
        <v>608</v>
      </c>
      <c r="Q10" s="88">
        <f t="shared" ref="Q10:Q40" si="1">(P10-O10)/O10%</f>
        <v>1.6722408026755851</v>
      </c>
      <c r="R10" s="314" t="s">
        <v>5</v>
      </c>
      <c r="S10" s="34" t="str">
        <f>'[3]1.RSP Districts '!S10</f>
        <v>Yes</v>
      </c>
      <c r="T10" s="34">
        <f>'[3]1.RSP Districts '!T10</f>
        <v>1</v>
      </c>
      <c r="U10" s="1">
        <v>1</v>
      </c>
      <c r="Y10" s="201" t="e">
        <f>I10-'[4]1.RSP Districts '!I10</f>
        <v>#REF!</v>
      </c>
    </row>
    <row r="11" spans="1:25" ht="14.25">
      <c r="A11" s="21">
        <v>2</v>
      </c>
      <c r="B11" s="22" t="s">
        <v>168</v>
      </c>
      <c r="C11" s="23">
        <v>8</v>
      </c>
      <c r="D11" s="34"/>
      <c r="E11" s="34"/>
      <c r="F11" s="88">
        <v>0</v>
      </c>
      <c r="G11" s="88">
        <f t="shared" si="0"/>
        <v>0</v>
      </c>
      <c r="H11" s="88"/>
      <c r="I11" s="88"/>
      <c r="J11" s="23">
        <v>13787</v>
      </c>
      <c r="K11" s="34"/>
      <c r="L11" s="23"/>
      <c r="M11" s="88">
        <v>0</v>
      </c>
      <c r="N11" s="88">
        <v>0</v>
      </c>
      <c r="O11" s="34"/>
      <c r="P11" s="24"/>
      <c r="Q11" s="88">
        <v>0</v>
      </c>
      <c r="R11" s="24">
        <v>0</v>
      </c>
      <c r="S11" s="23"/>
      <c r="T11" s="23"/>
      <c r="U11" s="1">
        <v>1</v>
      </c>
    </row>
    <row r="12" spans="1:25" ht="14.25">
      <c r="A12" s="21">
        <v>3</v>
      </c>
      <c r="B12" s="22" t="s">
        <v>36</v>
      </c>
      <c r="C12" s="23">
        <v>27</v>
      </c>
      <c r="D12" s="34">
        <v>1</v>
      </c>
      <c r="E12" s="34">
        <f>'[5]1.RSP Districts '!E12</f>
        <v>1</v>
      </c>
      <c r="F12" s="88">
        <f>(E12-D12)/D12%</f>
        <v>0</v>
      </c>
      <c r="G12" s="88">
        <f t="shared" si="0"/>
        <v>3.7037037037037033</v>
      </c>
      <c r="H12" s="34">
        <f>'[6]1.RSP Districts '!H12</f>
        <v>6</v>
      </c>
      <c r="I12" s="34">
        <f>'[5]1.RSP Districts '!I12</f>
        <v>6</v>
      </c>
      <c r="J12" s="23">
        <v>35003</v>
      </c>
      <c r="K12" s="34">
        <v>2434</v>
      </c>
      <c r="L12" s="34">
        <f>'[5]1.RSP Districts '!L12</f>
        <v>2434</v>
      </c>
      <c r="M12" s="88">
        <f>(L12-K12)/K12%</f>
        <v>0</v>
      </c>
      <c r="N12" s="88">
        <f>L12/J12%</f>
        <v>6.953689683741394</v>
      </c>
      <c r="O12" s="34">
        <v>109</v>
      </c>
      <c r="P12" s="34">
        <f>'[5]1.RSP Districts '!P12</f>
        <v>109</v>
      </c>
      <c r="Q12" s="88">
        <f t="shared" si="1"/>
        <v>0</v>
      </c>
      <c r="R12" s="314" t="s">
        <v>3</v>
      </c>
      <c r="S12" s="34" t="str">
        <f>'[5]1.RSP Districts '!S12</f>
        <v>No</v>
      </c>
      <c r="T12" s="34" t="str">
        <f>'[5]1.RSP Districts '!T12</f>
        <v>No</v>
      </c>
      <c r="U12" s="1">
        <v>1</v>
      </c>
    </row>
    <row r="13" spans="1:25" ht="14.25">
      <c r="A13" s="21">
        <v>4</v>
      </c>
      <c r="B13" s="22" t="s">
        <v>169</v>
      </c>
      <c r="C13" s="23">
        <v>10</v>
      </c>
      <c r="D13" s="34"/>
      <c r="E13" s="34"/>
      <c r="F13" s="88">
        <v>0</v>
      </c>
      <c r="G13" s="88">
        <f t="shared" si="0"/>
        <v>0</v>
      </c>
      <c r="H13" s="88"/>
      <c r="I13" s="88"/>
      <c r="J13" s="144">
        <v>13570</v>
      </c>
      <c r="K13" s="34"/>
      <c r="L13" s="23"/>
      <c r="M13" s="88">
        <v>0</v>
      </c>
      <c r="N13" s="88">
        <v>0</v>
      </c>
      <c r="O13" s="34"/>
      <c r="P13" s="24"/>
      <c r="Q13" s="88">
        <v>0</v>
      </c>
      <c r="R13" s="24">
        <v>0</v>
      </c>
      <c r="S13" s="23"/>
      <c r="T13" s="23"/>
      <c r="U13" s="1">
        <v>1</v>
      </c>
    </row>
    <row r="14" spans="1:25" ht="14.25">
      <c r="A14" s="21">
        <v>5</v>
      </c>
      <c r="B14" s="22" t="s">
        <v>170</v>
      </c>
      <c r="C14" s="23">
        <v>12</v>
      </c>
      <c r="D14" s="34"/>
      <c r="E14" s="34"/>
      <c r="F14" s="88">
        <v>0</v>
      </c>
      <c r="G14" s="88">
        <f t="shared" si="0"/>
        <v>0</v>
      </c>
      <c r="H14" s="88"/>
      <c r="I14" s="88"/>
      <c r="J14" s="144">
        <v>27337</v>
      </c>
      <c r="K14" s="34"/>
      <c r="L14" s="23"/>
      <c r="M14" s="88">
        <v>0</v>
      </c>
      <c r="N14" s="88">
        <v>0</v>
      </c>
      <c r="O14" s="34"/>
      <c r="P14" s="24"/>
      <c r="Q14" s="88">
        <v>0</v>
      </c>
      <c r="R14" s="24">
        <v>0</v>
      </c>
      <c r="S14" s="23"/>
      <c r="T14" s="23"/>
      <c r="U14" s="1">
        <v>1</v>
      </c>
    </row>
    <row r="15" spans="1:25" ht="14.25">
      <c r="A15" s="21">
        <v>6</v>
      </c>
      <c r="B15" s="22" t="s">
        <v>37</v>
      </c>
      <c r="C15" s="23">
        <v>13</v>
      </c>
      <c r="D15" s="34">
        <v>13</v>
      </c>
      <c r="E15" s="34">
        <f>'[3]1.RSP Districts '!E15</f>
        <v>13</v>
      </c>
      <c r="F15" s="88">
        <f>(E15-D15)/D15%</f>
        <v>0</v>
      </c>
      <c r="G15" s="88">
        <f t="shared" si="0"/>
        <v>100</v>
      </c>
      <c r="H15" s="34">
        <v>144</v>
      </c>
      <c r="I15" s="34">
        <f>'[3]1.RSP Districts '!I15</f>
        <v>144</v>
      </c>
      <c r="J15" s="23">
        <v>16691</v>
      </c>
      <c r="K15" s="34">
        <v>36326</v>
      </c>
      <c r="L15" s="34">
        <f>'[3]1.RSP Districts '!L15</f>
        <v>36326</v>
      </c>
      <c r="M15" s="88">
        <f>(L15-K15)/K15%</f>
        <v>0</v>
      </c>
      <c r="N15" s="88">
        <f>L15/J15%</f>
        <v>217.63824815768979</v>
      </c>
      <c r="O15" s="34">
        <v>1909</v>
      </c>
      <c r="P15" s="34">
        <f>'[3]1.RSP Districts '!P15</f>
        <v>1909</v>
      </c>
      <c r="Q15" s="88">
        <f t="shared" si="1"/>
        <v>0</v>
      </c>
      <c r="R15" s="314" t="s">
        <v>5</v>
      </c>
      <c r="S15" s="34" t="str">
        <f>'[3]1.RSP Districts '!S15</f>
        <v>Yes</v>
      </c>
      <c r="T15" s="34">
        <f>'[3]1.RSP Districts '!T15</f>
        <v>2</v>
      </c>
      <c r="U15" s="1">
        <v>1</v>
      </c>
      <c r="Y15" s="201" t="e">
        <f>I15-'[4]1.RSP Districts '!I15</f>
        <v>#REF!</v>
      </c>
    </row>
    <row r="16" spans="1:25" ht="14.25">
      <c r="A16" s="21">
        <v>7</v>
      </c>
      <c r="B16" s="22" t="s">
        <v>171</v>
      </c>
      <c r="C16" s="23">
        <v>10</v>
      </c>
      <c r="D16" s="34"/>
      <c r="E16" s="34"/>
      <c r="F16" s="88">
        <v>0</v>
      </c>
      <c r="G16" s="88">
        <f t="shared" si="0"/>
        <v>0</v>
      </c>
      <c r="H16" s="88"/>
      <c r="I16" s="88"/>
      <c r="J16" s="23">
        <v>0</v>
      </c>
      <c r="K16" s="34"/>
      <c r="L16" s="23"/>
      <c r="M16" s="88">
        <v>0</v>
      </c>
      <c r="N16" s="88">
        <v>0</v>
      </c>
      <c r="O16" s="34"/>
      <c r="P16" s="24"/>
      <c r="Q16" s="88">
        <v>0</v>
      </c>
      <c r="R16" s="24">
        <v>0</v>
      </c>
      <c r="S16" s="23"/>
      <c r="T16" s="23"/>
      <c r="U16" s="1">
        <v>1</v>
      </c>
    </row>
    <row r="17" spans="1:25" ht="14.25">
      <c r="A17" s="21">
        <v>8</v>
      </c>
      <c r="B17" s="22" t="s">
        <v>38</v>
      </c>
      <c r="C17" s="23">
        <v>9</v>
      </c>
      <c r="D17" s="34">
        <v>9</v>
      </c>
      <c r="E17" s="34">
        <f>'[5]1.RSP Districts '!E17</f>
        <v>9</v>
      </c>
      <c r="F17" s="88">
        <f t="shared" ref="F17:F22" si="2">(E17-D17)/D17%</f>
        <v>0</v>
      </c>
      <c r="G17" s="88">
        <f t="shared" si="0"/>
        <v>100</v>
      </c>
      <c r="H17" s="34">
        <f>'[6]1.RSP Districts '!H17</f>
        <v>98</v>
      </c>
      <c r="I17" s="34">
        <f>'[5]1.RSP Districts '!I17</f>
        <v>98</v>
      </c>
      <c r="J17" s="23">
        <v>16184</v>
      </c>
      <c r="K17" s="34">
        <v>14114</v>
      </c>
      <c r="L17" s="34">
        <f>'[5]1.RSP Districts '!L17</f>
        <v>14204</v>
      </c>
      <c r="M17" s="88">
        <f t="shared" ref="M17:M22" si="3">(L17-K17)/K17%</f>
        <v>0.63766473005526436</v>
      </c>
      <c r="N17" s="88">
        <f t="shared" ref="N17:N22" si="4">L17/J17%</f>
        <v>87.765694513099362</v>
      </c>
      <c r="O17" s="34">
        <v>760</v>
      </c>
      <c r="P17" s="34">
        <f>'[5]1.RSP Districts '!P17</f>
        <v>769</v>
      </c>
      <c r="Q17" s="88">
        <f t="shared" si="1"/>
        <v>1.1842105263157896</v>
      </c>
      <c r="R17" s="314" t="s">
        <v>3</v>
      </c>
      <c r="S17" s="34" t="str">
        <f>'[5]1.RSP Districts '!S17</f>
        <v>Yes</v>
      </c>
      <c r="T17" s="34" t="str">
        <f>'[5]1.RSP Districts '!T17</f>
        <v>No</v>
      </c>
      <c r="U17" s="1">
        <v>1</v>
      </c>
    </row>
    <row r="18" spans="1:25" ht="14.25">
      <c r="A18" s="21">
        <v>9</v>
      </c>
      <c r="B18" s="22" t="s">
        <v>39</v>
      </c>
      <c r="C18" s="23">
        <v>46</v>
      </c>
      <c r="D18" s="34">
        <v>29</v>
      </c>
      <c r="E18" s="34">
        <f>'[5]1.RSP Districts '!E18</f>
        <v>29</v>
      </c>
      <c r="F18" s="88">
        <f t="shared" si="2"/>
        <v>0</v>
      </c>
      <c r="G18" s="88">
        <f t="shared" si="0"/>
        <v>63.043478260869563</v>
      </c>
      <c r="H18" s="34">
        <f>'[6]1.RSP Districts '!H18</f>
        <v>41</v>
      </c>
      <c r="I18" s="34">
        <f>'[5]1.RSP Districts '!I18</f>
        <v>41</v>
      </c>
      <c r="J18" s="23">
        <v>52664</v>
      </c>
      <c r="K18" s="34">
        <v>8739</v>
      </c>
      <c r="L18" s="34">
        <f>'[5]1.RSP Districts '!L18</f>
        <v>8739</v>
      </c>
      <c r="M18" s="88">
        <f t="shared" si="3"/>
        <v>0</v>
      </c>
      <c r="N18" s="88">
        <f t="shared" si="4"/>
        <v>16.593878171046637</v>
      </c>
      <c r="O18" s="34">
        <v>163</v>
      </c>
      <c r="P18" s="34">
        <f>'[5]1.RSP Districts '!P18</f>
        <v>163</v>
      </c>
      <c r="Q18" s="88">
        <f t="shared" si="1"/>
        <v>0</v>
      </c>
      <c r="R18" s="314" t="s">
        <v>3</v>
      </c>
      <c r="S18" s="34" t="str">
        <f>'[5]1.RSP Districts '!S18</f>
        <v>Yes</v>
      </c>
      <c r="T18" s="34" t="str">
        <f>'[5]1.RSP Districts '!T18</f>
        <v>No</v>
      </c>
      <c r="U18" s="1">
        <v>1</v>
      </c>
    </row>
    <row r="19" spans="1:25" ht="14.25">
      <c r="A19" s="21">
        <v>10</v>
      </c>
      <c r="B19" s="22" t="s">
        <v>40</v>
      </c>
      <c r="C19" s="23">
        <v>18</v>
      </c>
      <c r="D19" s="34">
        <v>15</v>
      </c>
      <c r="E19" s="34">
        <f>'[5]1.RSP Districts '!E19</f>
        <v>15</v>
      </c>
      <c r="F19" s="88">
        <f t="shared" si="2"/>
        <v>0</v>
      </c>
      <c r="G19" s="88">
        <f t="shared" si="0"/>
        <v>83.333333333333343</v>
      </c>
      <c r="H19" s="34">
        <f>'[6]1.RSP Districts '!H19</f>
        <v>226</v>
      </c>
      <c r="I19" s="34">
        <f>'[5]1.RSP Districts '!I19</f>
        <v>226</v>
      </c>
      <c r="J19" s="23">
        <v>31396</v>
      </c>
      <c r="K19" s="34">
        <v>28829</v>
      </c>
      <c r="L19" s="34">
        <f>'[5]1.RSP Districts '!L19</f>
        <v>28829</v>
      </c>
      <c r="M19" s="88">
        <f t="shared" si="3"/>
        <v>0</v>
      </c>
      <c r="N19" s="88">
        <f t="shared" si="4"/>
        <v>91.823799210090456</v>
      </c>
      <c r="O19" s="34">
        <v>1870</v>
      </c>
      <c r="P19" s="34">
        <f>'[5]1.RSP Districts '!P19</f>
        <v>1870</v>
      </c>
      <c r="Q19" s="88">
        <f t="shared" si="1"/>
        <v>0</v>
      </c>
      <c r="R19" s="314" t="s">
        <v>3</v>
      </c>
      <c r="S19" s="34" t="str">
        <f>'[5]1.RSP Districts '!S19</f>
        <v>No</v>
      </c>
      <c r="T19" s="34" t="str">
        <f>'[5]1.RSP Districts '!T19</f>
        <v>No</v>
      </c>
      <c r="U19" s="1">
        <v>1</v>
      </c>
    </row>
    <row r="20" spans="1:25" ht="14.25">
      <c r="A20" s="21">
        <v>11</v>
      </c>
      <c r="B20" s="22" t="s">
        <v>41</v>
      </c>
      <c r="C20" s="23">
        <v>38</v>
      </c>
      <c r="D20" s="34">
        <v>38</v>
      </c>
      <c r="E20" s="34">
        <f>'[3]1.RSP Districts '!E20</f>
        <v>38</v>
      </c>
      <c r="F20" s="88">
        <f t="shared" si="2"/>
        <v>0</v>
      </c>
      <c r="G20" s="88">
        <f t="shared" si="0"/>
        <v>100</v>
      </c>
      <c r="H20" s="34">
        <v>357</v>
      </c>
      <c r="I20" s="34">
        <f>'[3]1.RSP Districts '!I20</f>
        <v>357</v>
      </c>
      <c r="J20" s="23">
        <v>70164</v>
      </c>
      <c r="K20" s="34">
        <v>48595</v>
      </c>
      <c r="L20" s="34">
        <f>'[3]1.RSP Districts '!L20</f>
        <v>49149</v>
      </c>
      <c r="M20" s="88">
        <f t="shared" si="3"/>
        <v>1.1400349830229448</v>
      </c>
      <c r="N20" s="88">
        <f t="shared" si="4"/>
        <v>70.048742945100059</v>
      </c>
      <c r="O20" s="34">
        <v>2246</v>
      </c>
      <c r="P20" s="34">
        <f>'[3]1.RSP Districts '!P20</f>
        <v>2246</v>
      </c>
      <c r="Q20" s="88">
        <f t="shared" si="1"/>
        <v>0</v>
      </c>
      <c r="R20" s="314" t="s">
        <v>5</v>
      </c>
      <c r="S20" s="34" t="str">
        <f>'[3]1.RSP Districts '!S20</f>
        <v>Yes</v>
      </c>
      <c r="T20" s="34">
        <f>'[3]1.RSP Districts '!T20</f>
        <v>1</v>
      </c>
      <c r="U20" s="1">
        <v>1</v>
      </c>
      <c r="Y20" s="201" t="e">
        <f>I20-'[4]1.RSP Districts '!I20</f>
        <v>#REF!</v>
      </c>
    </row>
    <row r="21" spans="1:25" ht="14.25">
      <c r="A21" s="21">
        <v>12</v>
      </c>
      <c r="B21" s="22" t="s">
        <v>42</v>
      </c>
      <c r="C21" s="23">
        <v>7</v>
      </c>
      <c r="D21" s="34">
        <v>7</v>
      </c>
      <c r="E21" s="34">
        <f>'[5]1.RSP Districts '!E21</f>
        <v>7</v>
      </c>
      <c r="F21" s="88">
        <f t="shared" si="2"/>
        <v>0</v>
      </c>
      <c r="G21" s="88">
        <f t="shared" si="0"/>
        <v>99.999999999999986</v>
      </c>
      <c r="H21" s="34">
        <f>'[6]1.RSP Districts '!H21</f>
        <v>137</v>
      </c>
      <c r="I21" s="34">
        <f>'[5]1.RSP Districts '!I21</f>
        <v>137</v>
      </c>
      <c r="J21" s="23">
        <v>14328.125</v>
      </c>
      <c r="K21" s="34">
        <v>15739</v>
      </c>
      <c r="L21" s="34">
        <f>'[5]1.RSP Districts '!L21</f>
        <v>15739</v>
      </c>
      <c r="M21" s="88">
        <f t="shared" si="3"/>
        <v>0</v>
      </c>
      <c r="N21" s="88">
        <f t="shared" si="4"/>
        <v>109.84689203925845</v>
      </c>
      <c r="O21" s="34">
        <v>942</v>
      </c>
      <c r="P21" s="34">
        <f>'[5]1.RSP Districts '!P21</f>
        <v>942</v>
      </c>
      <c r="Q21" s="88">
        <f t="shared" si="1"/>
        <v>0</v>
      </c>
      <c r="R21" s="314" t="s">
        <v>3</v>
      </c>
      <c r="S21" s="34" t="str">
        <f>'[5]1.RSP Districts '!S21</f>
        <v>Yes</v>
      </c>
      <c r="T21" s="34" t="str">
        <f>'[5]1.RSP Districts '!T21</f>
        <v>No</v>
      </c>
      <c r="U21" s="1">
        <v>1</v>
      </c>
    </row>
    <row r="22" spans="1:25" ht="14.25">
      <c r="A22" s="21">
        <v>13</v>
      </c>
      <c r="B22" s="22" t="s">
        <v>43</v>
      </c>
      <c r="C22" s="23">
        <v>35</v>
      </c>
      <c r="D22" s="34">
        <v>28</v>
      </c>
      <c r="E22" s="34">
        <f>'[5]1.RSP Districts '!E22</f>
        <v>28</v>
      </c>
      <c r="F22" s="88">
        <f t="shared" si="2"/>
        <v>0</v>
      </c>
      <c r="G22" s="88">
        <f t="shared" si="0"/>
        <v>80</v>
      </c>
      <c r="H22" s="34">
        <f>'[6]1.RSP Districts '!H22</f>
        <v>217</v>
      </c>
      <c r="I22" s="34">
        <f>'[5]1.RSP Districts '!I22</f>
        <v>217</v>
      </c>
      <c r="J22" s="23">
        <v>60032</v>
      </c>
      <c r="K22" s="34">
        <v>37522</v>
      </c>
      <c r="L22" s="34">
        <f>'[5]1.RSP Districts '!L22</f>
        <v>37522</v>
      </c>
      <c r="M22" s="88">
        <f t="shared" si="3"/>
        <v>0</v>
      </c>
      <c r="N22" s="88">
        <f t="shared" si="4"/>
        <v>62.503331556503191</v>
      </c>
      <c r="O22" s="34">
        <v>2178</v>
      </c>
      <c r="P22" s="34">
        <f>'[5]1.RSP Districts '!P22</f>
        <v>2178</v>
      </c>
      <c r="Q22" s="88">
        <f t="shared" si="1"/>
        <v>0</v>
      </c>
      <c r="R22" s="314" t="s">
        <v>3</v>
      </c>
      <c r="S22" s="34" t="str">
        <f>'[5]1.RSP Districts '!S22</f>
        <v>Yes</v>
      </c>
      <c r="T22" s="34" t="str">
        <f>'[5]1.RSP Districts '!T22</f>
        <v>No</v>
      </c>
      <c r="U22" s="1">
        <v>1</v>
      </c>
    </row>
    <row r="23" spans="1:25" ht="14.25">
      <c r="A23" s="21">
        <v>14</v>
      </c>
      <c r="B23" s="22" t="s">
        <v>172</v>
      </c>
      <c r="C23" s="23">
        <v>25</v>
      </c>
      <c r="D23" s="34"/>
      <c r="E23" s="34">
        <f>'[5]1.RSP Districts '!E23</f>
        <v>2</v>
      </c>
      <c r="F23" s="88">
        <v>0</v>
      </c>
      <c r="G23" s="88">
        <f t="shared" si="0"/>
        <v>8</v>
      </c>
      <c r="H23" s="88"/>
      <c r="I23" s="34">
        <f>'[5]1.RSP Districts '!I23</f>
        <v>0</v>
      </c>
      <c r="J23" s="145">
        <v>44863</v>
      </c>
      <c r="K23" s="34"/>
      <c r="L23" s="34">
        <f>'[5]1.RSP Districts '!L23</f>
        <v>2425</v>
      </c>
      <c r="M23" s="88">
        <v>0</v>
      </c>
      <c r="N23" s="88">
        <v>0</v>
      </c>
      <c r="O23" s="34"/>
      <c r="P23" s="34">
        <f>'[5]1.RSP Districts '!P23</f>
        <v>114</v>
      </c>
      <c r="Q23" s="88">
        <v>0</v>
      </c>
      <c r="R23" s="314" t="s">
        <v>3</v>
      </c>
      <c r="S23" s="34" t="str">
        <f>'[5]1.RSP Districts '!S23</f>
        <v>Yes</v>
      </c>
      <c r="T23" s="34" t="str">
        <f>'[5]1.RSP Districts '!T23</f>
        <v>No</v>
      </c>
      <c r="U23" s="1">
        <v>1</v>
      </c>
    </row>
    <row r="24" spans="1:25" ht="14.25">
      <c r="A24" s="21">
        <v>15</v>
      </c>
      <c r="B24" s="22" t="s">
        <v>44</v>
      </c>
      <c r="C24" s="23">
        <v>15</v>
      </c>
      <c r="D24" s="34">
        <v>13</v>
      </c>
      <c r="E24" s="34">
        <f>'[5]1.RSP Districts '!E24</f>
        <v>13</v>
      </c>
      <c r="F24" s="88">
        <f>(E24-D24)/D24%</f>
        <v>0</v>
      </c>
      <c r="G24" s="88">
        <f t="shared" si="0"/>
        <v>86.666666666666671</v>
      </c>
      <c r="H24" s="34">
        <f>'[6]1.RSP Districts '!H24</f>
        <v>131</v>
      </c>
      <c r="I24" s="34">
        <f>'[5]1.RSP Districts '!I24</f>
        <v>131</v>
      </c>
      <c r="J24" s="23">
        <v>28796</v>
      </c>
      <c r="K24" s="34">
        <v>19117</v>
      </c>
      <c r="L24" s="34">
        <f>'[5]1.RSP Districts '!L24</f>
        <v>19117</v>
      </c>
      <c r="M24" s="88">
        <f>(L24-K24)/K24%</f>
        <v>0</v>
      </c>
      <c r="N24" s="88">
        <f>L24/J24%</f>
        <v>66.387692735102107</v>
      </c>
      <c r="O24" s="34">
        <v>1220</v>
      </c>
      <c r="P24" s="34">
        <f>'[5]1.RSP Districts '!P24</f>
        <v>1220</v>
      </c>
      <c r="Q24" s="88">
        <f t="shared" si="1"/>
        <v>0</v>
      </c>
      <c r="R24" s="314" t="s">
        <v>3</v>
      </c>
      <c r="S24" s="34" t="str">
        <f>'[5]1.RSP Districts '!S24</f>
        <v>No</v>
      </c>
      <c r="T24" s="34" t="str">
        <f>'[5]1.RSP Districts '!T24</f>
        <v>No</v>
      </c>
      <c r="U24" s="1">
        <v>1</v>
      </c>
    </row>
    <row r="25" spans="1:25" ht="14.25">
      <c r="A25" s="21">
        <v>16</v>
      </c>
      <c r="B25" s="22" t="s">
        <v>173</v>
      </c>
      <c r="C25" s="23">
        <v>8</v>
      </c>
      <c r="D25" s="34"/>
      <c r="E25" s="34"/>
      <c r="F25" s="88">
        <v>0</v>
      </c>
      <c r="G25" s="88">
        <f t="shared" si="0"/>
        <v>0</v>
      </c>
      <c r="H25" s="88"/>
      <c r="I25" s="88"/>
      <c r="J25" s="144">
        <v>15156</v>
      </c>
      <c r="K25" s="34"/>
      <c r="L25" s="23"/>
      <c r="M25" s="88">
        <v>0</v>
      </c>
      <c r="N25" s="88">
        <v>0</v>
      </c>
      <c r="O25" s="34"/>
      <c r="P25" s="24"/>
      <c r="Q25" s="88">
        <v>0</v>
      </c>
      <c r="R25" s="24">
        <v>0</v>
      </c>
      <c r="S25" s="23"/>
      <c r="T25" s="23"/>
      <c r="U25" s="1">
        <v>1</v>
      </c>
    </row>
    <row r="26" spans="1:25" ht="14.25">
      <c r="A26" s="21">
        <v>17</v>
      </c>
      <c r="B26" s="22" t="s">
        <v>45</v>
      </c>
      <c r="C26" s="23">
        <v>22</v>
      </c>
      <c r="D26" s="34">
        <v>5</v>
      </c>
      <c r="E26" s="34">
        <f>'[3]1.RSP Districts '!E26</f>
        <v>5</v>
      </c>
      <c r="F26" s="88">
        <f>(E26-D26)/D26%</f>
        <v>0</v>
      </c>
      <c r="G26" s="88">
        <f t="shared" si="0"/>
        <v>22.727272727272727</v>
      </c>
      <c r="H26" s="34">
        <v>288</v>
      </c>
      <c r="I26" s="34">
        <f>'[3]1.RSP Districts '!I26</f>
        <v>288</v>
      </c>
      <c r="J26" s="23">
        <v>34637</v>
      </c>
      <c r="K26" s="34">
        <v>8731</v>
      </c>
      <c r="L26" s="34">
        <f>'[3]1.RSP Districts '!L26</f>
        <v>14736</v>
      </c>
      <c r="M26" s="88">
        <f>(L26-K26)/K26%</f>
        <v>68.777917764288162</v>
      </c>
      <c r="N26" s="88">
        <f>L26/J26%</f>
        <v>42.544100239628143</v>
      </c>
      <c r="O26" s="34">
        <v>682</v>
      </c>
      <c r="P26" s="34">
        <f>'[3]1.RSP Districts '!P26</f>
        <v>895</v>
      </c>
      <c r="Q26" s="88">
        <f t="shared" si="1"/>
        <v>31.231671554252198</v>
      </c>
      <c r="R26" s="314" t="s">
        <v>5</v>
      </c>
      <c r="S26" s="34" t="str">
        <f>'[3]1.RSP Districts '!S26</f>
        <v>Yes</v>
      </c>
      <c r="T26" s="34">
        <f>'[3]1.RSP Districts '!T26</f>
        <v>3</v>
      </c>
      <c r="U26" s="1">
        <v>1</v>
      </c>
      <c r="Y26" s="201" t="e">
        <f>I26-'[4]1.RSP Districts '!I26</f>
        <v>#REF!</v>
      </c>
    </row>
    <row r="27" spans="1:25" ht="14.25">
      <c r="A27" s="21">
        <v>18</v>
      </c>
      <c r="B27" s="22" t="s">
        <v>174</v>
      </c>
      <c r="C27" s="23">
        <v>20</v>
      </c>
      <c r="D27" s="34">
        <v>20</v>
      </c>
      <c r="E27" s="34">
        <f>'[5]1.RSP Districts '!E27</f>
        <v>20</v>
      </c>
      <c r="F27" s="88">
        <f>(E27-D27)/D27%</f>
        <v>0</v>
      </c>
      <c r="G27" s="88">
        <f t="shared" si="0"/>
        <v>100</v>
      </c>
      <c r="H27" s="34">
        <f>'[6]1.RSP Districts '!H27</f>
        <v>20</v>
      </c>
      <c r="I27" s="34">
        <f>'[5]1.RSP Districts '!I27</f>
        <v>20</v>
      </c>
      <c r="J27" s="144">
        <v>39770</v>
      </c>
      <c r="K27" s="34">
        <v>5150</v>
      </c>
      <c r="L27" s="34">
        <f>'[5]1.RSP Districts '!L27</f>
        <v>6000</v>
      </c>
      <c r="M27" s="88">
        <f>(L27-K27)/K27%</f>
        <v>16.50485436893204</v>
      </c>
      <c r="N27" s="88">
        <f>L27/J27%</f>
        <v>15.086748805632388</v>
      </c>
      <c r="O27" s="34">
        <v>278</v>
      </c>
      <c r="P27" s="34">
        <f>'[5]1.RSP Districts '!P27</f>
        <v>363</v>
      </c>
      <c r="Q27" s="88">
        <f t="shared" si="1"/>
        <v>30.575539568345327</v>
      </c>
      <c r="R27" s="24" t="s">
        <v>3</v>
      </c>
      <c r="S27" s="34" t="str">
        <f>'[5]1.RSP Districts '!S27</f>
        <v>Yes</v>
      </c>
      <c r="T27" s="34" t="str">
        <f>'[5]1.RSP Districts '!T27</f>
        <v>No</v>
      </c>
      <c r="U27" s="1">
        <v>1</v>
      </c>
    </row>
    <row r="28" spans="1:25" ht="14.25">
      <c r="A28" s="21">
        <v>19</v>
      </c>
      <c r="B28" s="22" t="s">
        <v>46</v>
      </c>
      <c r="C28" s="23">
        <v>13</v>
      </c>
      <c r="D28" s="34">
        <v>13</v>
      </c>
      <c r="E28" s="34">
        <f>'[5]1.RSP Districts '!E28</f>
        <v>13</v>
      </c>
      <c r="F28" s="88">
        <f>(E28-D28)/D28%</f>
        <v>0</v>
      </c>
      <c r="G28" s="88">
        <f t="shared" si="0"/>
        <v>100</v>
      </c>
      <c r="H28" s="34">
        <f>'[6]1.RSP Districts '!H28</f>
        <v>82</v>
      </c>
      <c r="I28" s="34">
        <f>'[5]1.RSP Districts '!I28</f>
        <v>82</v>
      </c>
      <c r="J28" s="23">
        <v>18831</v>
      </c>
      <c r="K28" s="34">
        <v>18831</v>
      </c>
      <c r="L28" s="34">
        <f>'[5]1.RSP Districts '!L28</f>
        <v>18831</v>
      </c>
      <c r="M28" s="88">
        <f>(L28-K28)/K28%</f>
        <v>0</v>
      </c>
      <c r="N28" s="88">
        <f>L28/J28%</f>
        <v>100</v>
      </c>
      <c r="O28" s="34">
        <v>1389</v>
      </c>
      <c r="P28" s="34">
        <f>'[5]1.RSP Districts '!P28</f>
        <v>1389</v>
      </c>
      <c r="Q28" s="88">
        <f t="shared" si="1"/>
        <v>0</v>
      </c>
      <c r="R28" s="314" t="s">
        <v>3</v>
      </c>
      <c r="S28" s="34" t="str">
        <f>'[5]1.RSP Districts '!S28</f>
        <v>No</v>
      </c>
      <c r="T28" s="34" t="str">
        <f>'[5]1.RSP Districts '!T28</f>
        <v>No</v>
      </c>
      <c r="U28" s="1">
        <v>1</v>
      </c>
    </row>
    <row r="29" spans="1:25" ht="14.25">
      <c r="A29" s="21">
        <v>20</v>
      </c>
      <c r="B29" s="22" t="s">
        <v>175</v>
      </c>
      <c r="C29" s="23">
        <v>10</v>
      </c>
      <c r="D29" s="34"/>
      <c r="E29" s="34"/>
      <c r="F29" s="88">
        <v>0</v>
      </c>
      <c r="G29" s="88">
        <f t="shared" si="0"/>
        <v>0</v>
      </c>
      <c r="H29" s="88">
        <v>0</v>
      </c>
      <c r="I29" s="88"/>
      <c r="J29" s="144">
        <v>19126</v>
      </c>
      <c r="K29" s="34"/>
      <c r="L29" s="23"/>
      <c r="M29" s="88">
        <v>0</v>
      </c>
      <c r="N29" s="88">
        <v>0</v>
      </c>
      <c r="O29" s="34"/>
      <c r="P29" s="24"/>
      <c r="Q29" s="88">
        <v>0</v>
      </c>
      <c r="R29" s="24">
        <v>0</v>
      </c>
      <c r="S29" s="23"/>
      <c r="T29" s="23"/>
      <c r="U29" s="1">
        <v>1</v>
      </c>
    </row>
    <row r="30" spans="1:25" ht="14.25">
      <c r="A30" s="21">
        <v>21</v>
      </c>
      <c r="B30" s="22" t="s">
        <v>176</v>
      </c>
      <c r="C30" s="23">
        <v>24</v>
      </c>
      <c r="D30" s="34"/>
      <c r="E30" s="34"/>
      <c r="F30" s="88">
        <v>0</v>
      </c>
      <c r="G30" s="88">
        <f t="shared" si="0"/>
        <v>0</v>
      </c>
      <c r="H30" s="88">
        <v>0</v>
      </c>
      <c r="I30" s="88"/>
      <c r="J30" s="144">
        <v>34981</v>
      </c>
      <c r="K30" s="34"/>
      <c r="L30" s="23"/>
      <c r="M30" s="88">
        <v>0</v>
      </c>
      <c r="N30" s="88">
        <v>0</v>
      </c>
      <c r="O30" s="34"/>
      <c r="P30" s="24"/>
      <c r="Q30" s="88">
        <v>0</v>
      </c>
      <c r="R30" s="24">
        <v>0</v>
      </c>
      <c r="S30" s="23"/>
      <c r="T30" s="23"/>
      <c r="U30" s="1">
        <v>1</v>
      </c>
    </row>
    <row r="31" spans="1:25" ht="14.25">
      <c r="A31" s="21">
        <v>22</v>
      </c>
      <c r="B31" s="22" t="s">
        <v>177</v>
      </c>
      <c r="C31" s="23">
        <v>10</v>
      </c>
      <c r="D31" s="34">
        <v>1</v>
      </c>
      <c r="E31" s="34">
        <f>'[5]1.RSP Districts '!E31</f>
        <v>1</v>
      </c>
      <c r="F31" s="88">
        <f>(E31-D31)/D31%</f>
        <v>0</v>
      </c>
      <c r="G31" s="88">
        <f t="shared" si="0"/>
        <v>10</v>
      </c>
      <c r="H31" s="34">
        <f>'[6]1.RSP Districts '!H31</f>
        <v>4</v>
      </c>
      <c r="I31" s="34">
        <f>'[5]1.RSP Districts '!I31</f>
        <v>4</v>
      </c>
      <c r="J31" s="144">
        <v>13570</v>
      </c>
      <c r="K31" s="34">
        <v>60</v>
      </c>
      <c r="L31" s="34">
        <f>'[5]1.RSP Districts '!L31</f>
        <v>60</v>
      </c>
      <c r="M31" s="88">
        <f>(L31-K31)/K31%</f>
        <v>0</v>
      </c>
      <c r="N31" s="88">
        <v>0</v>
      </c>
      <c r="O31" s="34">
        <v>4</v>
      </c>
      <c r="P31" s="34">
        <f>'[5]1.RSP Districts '!P31</f>
        <v>4</v>
      </c>
      <c r="Q31" s="88">
        <f t="shared" si="1"/>
        <v>0</v>
      </c>
      <c r="R31" s="314" t="s">
        <v>3</v>
      </c>
      <c r="S31" s="34" t="str">
        <f>'[5]1.RSP Districts '!S31</f>
        <v>Yes</v>
      </c>
      <c r="T31" s="34" t="str">
        <f>'[5]1.RSP Districts '!T31</f>
        <v>No</v>
      </c>
      <c r="U31" s="1">
        <v>1</v>
      </c>
    </row>
    <row r="32" spans="1:25" ht="14.25">
      <c r="A32" s="21">
        <v>23</v>
      </c>
      <c r="B32" s="22" t="s">
        <v>47</v>
      </c>
      <c r="C32" s="23">
        <v>16</v>
      </c>
      <c r="D32" s="34">
        <v>16</v>
      </c>
      <c r="E32" s="34">
        <f>'[3]1.RSP Districts '!E32</f>
        <v>16</v>
      </c>
      <c r="F32" s="88">
        <f>(E32-D32)/D32%</f>
        <v>0</v>
      </c>
      <c r="G32" s="88">
        <f t="shared" si="0"/>
        <v>100</v>
      </c>
      <c r="H32" s="34">
        <v>117</v>
      </c>
      <c r="I32" s="34">
        <f>'[3]1.RSP Districts '!I32</f>
        <v>117</v>
      </c>
      <c r="J32" s="23">
        <v>35703</v>
      </c>
      <c r="K32" s="34">
        <v>16949</v>
      </c>
      <c r="L32" s="34">
        <f>'[3]1.RSP Districts '!L32</f>
        <v>20706</v>
      </c>
      <c r="M32" s="88">
        <f>(L32-K32)/K32%</f>
        <v>22.166499498495487</v>
      </c>
      <c r="N32" s="88">
        <f>L32/J32%</f>
        <v>57.995126459961355</v>
      </c>
      <c r="O32" s="34">
        <v>1042</v>
      </c>
      <c r="P32" s="34">
        <f>'[3]1.RSP Districts '!P32</f>
        <v>1274</v>
      </c>
      <c r="Q32" s="88">
        <f t="shared" si="1"/>
        <v>22.264875239923224</v>
      </c>
      <c r="R32" s="314" t="s">
        <v>5</v>
      </c>
      <c r="S32" s="34" t="str">
        <f>'[3]1.RSP Districts '!S32</f>
        <v>Yes</v>
      </c>
      <c r="T32" s="34">
        <f>'[3]1.RSP Districts '!T32</f>
        <v>2</v>
      </c>
      <c r="U32" s="1">
        <v>1</v>
      </c>
      <c r="Y32" s="201" t="e">
        <f>I32-'[4]1.RSP Districts '!I32</f>
        <v>#REF!</v>
      </c>
    </row>
    <row r="33" spans="1:25" ht="14.25">
      <c r="A33" s="21">
        <v>24</v>
      </c>
      <c r="B33" s="22" t="s">
        <v>48</v>
      </c>
      <c r="C33" s="23">
        <v>38</v>
      </c>
      <c r="D33" s="34">
        <v>35</v>
      </c>
      <c r="E33" s="34">
        <f>'[5]1.RSP Districts '!E33</f>
        <v>35</v>
      </c>
      <c r="F33" s="88">
        <f>(E33-D33)/D33%</f>
        <v>0</v>
      </c>
      <c r="G33" s="88">
        <f t="shared" si="0"/>
        <v>92.10526315789474</v>
      </c>
      <c r="H33" s="34">
        <f>'[6]1.RSP Districts '!H33</f>
        <v>197</v>
      </c>
      <c r="I33" s="34">
        <f>'[5]1.RSP Districts '!I33</f>
        <v>197</v>
      </c>
      <c r="J33" s="23">
        <v>55654</v>
      </c>
      <c r="K33" s="34">
        <v>23705</v>
      </c>
      <c r="L33" s="34">
        <f>'[5]1.RSP Districts '!L33</f>
        <v>23705</v>
      </c>
      <c r="M33" s="88">
        <f>(L33-K33)/K33%</f>
        <v>0</v>
      </c>
      <c r="N33" s="88">
        <f>L33/J33%</f>
        <v>42.59352427498473</v>
      </c>
      <c r="O33" s="34">
        <v>1550</v>
      </c>
      <c r="P33" s="34">
        <f>'[5]1.RSP Districts '!P33</f>
        <v>1550</v>
      </c>
      <c r="Q33" s="88">
        <f t="shared" si="1"/>
        <v>0</v>
      </c>
      <c r="R33" s="314" t="s">
        <v>3</v>
      </c>
      <c r="S33" s="34" t="str">
        <f>'[5]1.RSP Districts '!S33</f>
        <v>Yes</v>
      </c>
      <c r="T33" s="34" t="str">
        <f>'[5]1.RSP Districts '!T33</f>
        <v>No</v>
      </c>
      <c r="U33" s="1">
        <v>1</v>
      </c>
    </row>
    <row r="34" spans="1:25" ht="14.25">
      <c r="A34" s="21">
        <v>25</v>
      </c>
      <c r="B34" s="22" t="s">
        <v>181</v>
      </c>
      <c r="C34" s="23">
        <v>47</v>
      </c>
      <c r="D34" s="34">
        <v>5</v>
      </c>
      <c r="E34" s="34">
        <f>'[5]1.RSP Districts '!E34</f>
        <v>5</v>
      </c>
      <c r="F34" s="88">
        <f>(E34-D34)/D34%</f>
        <v>0</v>
      </c>
      <c r="G34" s="88">
        <f t="shared" si="0"/>
        <v>10.638297872340425</v>
      </c>
      <c r="H34" s="34">
        <f>'[6]1.RSP Districts '!H34</f>
        <v>0</v>
      </c>
      <c r="I34" s="34">
        <f>'[5]1.RSP Districts '!I34</f>
        <v>0</v>
      </c>
      <c r="J34" s="144">
        <v>25232</v>
      </c>
      <c r="K34" s="34">
        <v>939</v>
      </c>
      <c r="L34" s="34">
        <f>'[5]1.RSP Districts '!L34</f>
        <v>939</v>
      </c>
      <c r="M34" s="88">
        <f>(L34-K34)/K34%</f>
        <v>0</v>
      </c>
      <c r="N34" s="88">
        <f>L34/J34%</f>
        <v>3.7214648065948004</v>
      </c>
      <c r="O34" s="34">
        <v>88</v>
      </c>
      <c r="P34" s="34">
        <f>'[5]1.RSP Districts '!P34</f>
        <v>88</v>
      </c>
      <c r="Q34" s="88">
        <f t="shared" si="1"/>
        <v>0</v>
      </c>
      <c r="R34" s="24" t="s">
        <v>3</v>
      </c>
      <c r="S34" s="34" t="str">
        <f>'[5]1.RSP Districts '!S34</f>
        <v>Yes</v>
      </c>
      <c r="T34" s="34" t="str">
        <f>'[5]1.RSP Districts '!T34</f>
        <v>No</v>
      </c>
      <c r="U34" s="1">
        <v>1</v>
      </c>
    </row>
    <row r="35" spans="1:25" ht="14.25">
      <c r="A35" s="21">
        <v>26</v>
      </c>
      <c r="B35" s="22" t="s">
        <v>49</v>
      </c>
      <c r="C35" s="23">
        <v>7</v>
      </c>
      <c r="D35" s="34">
        <v>7</v>
      </c>
      <c r="E35" s="34">
        <f>'[5]1.RSP Districts '!E35</f>
        <v>7</v>
      </c>
      <c r="F35" s="88">
        <f>(E35-D35)/D35%</f>
        <v>0</v>
      </c>
      <c r="G35" s="88">
        <f t="shared" si="0"/>
        <v>99.999999999999986</v>
      </c>
      <c r="H35" s="34">
        <f>'[6]1.RSP Districts '!H35</f>
        <v>38</v>
      </c>
      <c r="I35" s="34">
        <f>'[5]1.RSP Districts '!I35</f>
        <v>38</v>
      </c>
      <c r="J35" s="23">
        <v>10608.311688311687</v>
      </c>
      <c r="K35" s="34">
        <v>2520</v>
      </c>
      <c r="L35" s="34">
        <f>'[5]1.RSP Districts '!L35</f>
        <v>2520</v>
      </c>
      <c r="M35" s="88">
        <f>(L35-K35)/K35%</f>
        <v>0</v>
      </c>
      <c r="N35" s="88">
        <f>L35/J35%</f>
        <v>23.754958131335393</v>
      </c>
      <c r="O35" s="34">
        <v>118</v>
      </c>
      <c r="P35" s="34">
        <f>'[5]1.RSP Districts '!P35</f>
        <v>118</v>
      </c>
      <c r="Q35" s="88">
        <f t="shared" si="1"/>
        <v>0</v>
      </c>
      <c r="R35" s="314" t="s">
        <v>3</v>
      </c>
      <c r="S35" s="34" t="str">
        <f>'[5]1.RSP Districts '!S35</f>
        <v>No</v>
      </c>
      <c r="T35" s="34" t="str">
        <f>'[5]1.RSP Districts '!T35</f>
        <v>No</v>
      </c>
      <c r="U35" s="1">
        <v>1</v>
      </c>
    </row>
    <row r="36" spans="1:25" ht="14.25">
      <c r="A36" s="21">
        <v>27</v>
      </c>
      <c r="B36" s="22" t="s">
        <v>178</v>
      </c>
      <c r="C36" s="23">
        <v>11</v>
      </c>
      <c r="D36" s="34"/>
      <c r="E36" s="34"/>
      <c r="F36" s="88">
        <v>0</v>
      </c>
      <c r="G36" s="88">
        <f t="shared" si="0"/>
        <v>0</v>
      </c>
      <c r="H36" s="88"/>
      <c r="I36" s="88"/>
      <c r="J36" s="144">
        <v>19815</v>
      </c>
      <c r="K36" s="34"/>
      <c r="L36" s="23"/>
      <c r="M36" s="88">
        <v>0</v>
      </c>
      <c r="N36" s="88">
        <v>0</v>
      </c>
      <c r="O36" s="34"/>
      <c r="P36" s="24"/>
      <c r="Q36" s="88">
        <v>0</v>
      </c>
      <c r="R36" s="24">
        <v>0</v>
      </c>
      <c r="S36" s="23"/>
      <c r="T36" s="23"/>
      <c r="U36" s="1">
        <v>1</v>
      </c>
    </row>
    <row r="37" spans="1:25" ht="14.25">
      <c r="A37" s="21">
        <v>28</v>
      </c>
      <c r="B37" s="22" t="s">
        <v>179</v>
      </c>
      <c r="C37" s="23">
        <v>9</v>
      </c>
      <c r="D37" s="34"/>
      <c r="E37" s="34"/>
      <c r="F37" s="88">
        <v>0</v>
      </c>
      <c r="G37" s="88">
        <f t="shared" si="0"/>
        <v>0</v>
      </c>
      <c r="H37" s="88"/>
      <c r="I37" s="88"/>
      <c r="J37" s="144">
        <v>18421.875</v>
      </c>
      <c r="K37" s="34"/>
      <c r="L37" s="23"/>
      <c r="M37" s="88">
        <v>0</v>
      </c>
      <c r="N37" s="88">
        <v>0</v>
      </c>
      <c r="O37" s="34"/>
      <c r="P37" s="24"/>
      <c r="Q37" s="88">
        <v>0</v>
      </c>
      <c r="R37" s="24">
        <v>0</v>
      </c>
      <c r="S37" s="23"/>
      <c r="T37" s="23"/>
      <c r="U37" s="1">
        <v>1</v>
      </c>
    </row>
    <row r="38" spans="1:25" ht="14.25">
      <c r="A38" s="21">
        <v>29</v>
      </c>
      <c r="B38" s="22" t="s">
        <v>50</v>
      </c>
      <c r="C38" s="23">
        <v>21</v>
      </c>
      <c r="D38" s="34">
        <v>21</v>
      </c>
      <c r="E38" s="34">
        <f>'[5]1.RSP Districts '!E38</f>
        <v>21</v>
      </c>
      <c r="F38" s="88">
        <f>(E38-D38)/D38%</f>
        <v>0</v>
      </c>
      <c r="G38" s="88">
        <f t="shared" si="0"/>
        <v>100</v>
      </c>
      <c r="H38" s="34">
        <f>'[6]1.RSP Districts '!H38</f>
        <v>141</v>
      </c>
      <c r="I38" s="34">
        <f>'[5]1.RSP Districts '!I38</f>
        <v>141</v>
      </c>
      <c r="J38" s="23">
        <v>21117.688311688311</v>
      </c>
      <c r="K38" s="34">
        <v>24596</v>
      </c>
      <c r="L38" s="34">
        <f>'[5]1.RSP Districts '!L38</f>
        <v>24926</v>
      </c>
      <c r="M38" s="88">
        <f>(L38-K38)/K38%</f>
        <v>1.3416815742397137</v>
      </c>
      <c r="N38" s="88">
        <f>L38/J38%</f>
        <v>118.03375271053625</v>
      </c>
      <c r="O38" s="34">
        <v>1430</v>
      </c>
      <c r="P38" s="34">
        <f>'[5]1.RSP Districts '!P38</f>
        <v>1463</v>
      </c>
      <c r="Q38" s="88">
        <f t="shared" si="1"/>
        <v>2.3076923076923075</v>
      </c>
      <c r="R38" s="314" t="s">
        <v>3</v>
      </c>
      <c r="S38" s="34" t="str">
        <f>'[5]1.RSP Districts '!S38</f>
        <v>Yes</v>
      </c>
      <c r="T38" s="34" t="str">
        <f>'[5]1.RSP Districts '!T38</f>
        <v>No</v>
      </c>
      <c r="U38" s="1">
        <v>1</v>
      </c>
    </row>
    <row r="39" spans="1:25" thickBot="1">
      <c r="A39" s="32">
        <v>30</v>
      </c>
      <c r="B39" s="33" t="s">
        <v>180</v>
      </c>
      <c r="C39" s="34">
        <v>10</v>
      </c>
      <c r="D39" s="34"/>
      <c r="E39" s="34"/>
      <c r="F39" s="119">
        <v>0</v>
      </c>
      <c r="G39" s="119">
        <f t="shared" si="0"/>
        <v>0</v>
      </c>
      <c r="H39" s="119">
        <v>0</v>
      </c>
      <c r="I39" s="119"/>
      <c r="J39" s="144">
        <v>4609</v>
      </c>
      <c r="K39" s="34"/>
      <c r="L39" s="34"/>
      <c r="M39" s="88">
        <v>0</v>
      </c>
      <c r="N39" s="119">
        <v>0</v>
      </c>
      <c r="O39" s="34"/>
      <c r="P39" s="36"/>
      <c r="Q39" s="119">
        <v>0</v>
      </c>
      <c r="R39" s="36">
        <v>0</v>
      </c>
      <c r="S39" s="23"/>
      <c r="T39" s="23"/>
      <c r="U39" s="1">
        <v>1</v>
      </c>
    </row>
    <row r="40" spans="1:25" s="4" customFormat="1" ht="15.75" thickBot="1">
      <c r="A40" s="131">
        <f>COUNTIF(R10:R39,"*")</f>
        <v>20</v>
      </c>
      <c r="B40" s="130" t="s">
        <v>33</v>
      </c>
      <c r="C40" s="49">
        <f>SUM(C10:C39)</f>
        <v>547</v>
      </c>
      <c r="D40" s="49">
        <f>SUM(D10:D39)</f>
        <v>284</v>
      </c>
      <c r="E40" s="49">
        <f>SUM(E10:E39)</f>
        <v>286</v>
      </c>
      <c r="F40" s="132">
        <f t="shared" ref="F40" si="5">(E40-D40)/D40%</f>
        <v>0.70422535211267612</v>
      </c>
      <c r="G40" s="132">
        <f t="shared" ref="G40" si="6">E40/C40%</f>
        <v>52.285191956124315</v>
      </c>
      <c r="H40" s="49">
        <f>SUM(H10:H39)</f>
        <v>2362</v>
      </c>
      <c r="I40" s="49">
        <f>SUM(I10:I39)</f>
        <v>2362</v>
      </c>
      <c r="J40" s="49">
        <f>SUM(J10:J39)</f>
        <v>814191</v>
      </c>
      <c r="K40" s="49">
        <f>SUM(K10:K39)</f>
        <v>322786</v>
      </c>
      <c r="L40" s="49">
        <f>SUM(L10:L39)</f>
        <v>336986</v>
      </c>
      <c r="M40" s="132">
        <f t="shared" ref="M40" si="7">(L40-K40)/K40%</f>
        <v>4.3991994696176411</v>
      </c>
      <c r="N40" s="132">
        <f t="shared" ref="N40" si="8">L40/J40%</f>
        <v>41.389059815203069</v>
      </c>
      <c r="O40" s="49">
        <f>SUM(O10:O39)</f>
        <v>18576</v>
      </c>
      <c r="P40" s="49">
        <f>SUM(P10:P39)</f>
        <v>19272</v>
      </c>
      <c r="Q40" s="132">
        <f t="shared" si="1"/>
        <v>3.7467700258397936</v>
      </c>
      <c r="R40" s="313"/>
      <c r="S40" s="327"/>
      <c r="T40" s="49">
        <f>SUM(T10:T39)</f>
        <v>9</v>
      </c>
      <c r="U40" s="1">
        <v>1</v>
      </c>
    </row>
    <row r="41" spans="1:25" ht="5.25" customHeight="1" thickBot="1">
      <c r="A41" s="78"/>
      <c r="B41" s="79"/>
      <c r="C41" s="40"/>
      <c r="D41" s="40"/>
      <c r="E41" s="40"/>
      <c r="F41" s="91"/>
      <c r="G41" s="91"/>
      <c r="H41" s="91"/>
      <c r="I41" s="91"/>
      <c r="J41" s="40"/>
      <c r="K41" s="40"/>
      <c r="L41" s="40"/>
      <c r="M41" s="40"/>
      <c r="N41" s="40"/>
      <c r="O41" s="40"/>
      <c r="P41" s="40"/>
      <c r="Q41" s="40"/>
      <c r="R41" s="315"/>
      <c r="S41" s="325"/>
      <c r="T41" s="325"/>
      <c r="U41" s="1">
        <v>1</v>
      </c>
    </row>
    <row r="42" spans="1:25" s="5" customFormat="1" ht="14.25">
      <c r="A42" s="17" t="s">
        <v>275</v>
      </c>
      <c r="B42" s="18"/>
      <c r="C42" s="19"/>
      <c r="D42" s="26"/>
      <c r="E42" s="26"/>
      <c r="F42" s="90"/>
      <c r="G42" s="90"/>
      <c r="H42" s="90"/>
      <c r="I42" s="90"/>
      <c r="J42" s="19"/>
      <c r="K42" s="26"/>
      <c r="L42" s="26"/>
      <c r="M42" s="26"/>
      <c r="N42" s="26"/>
      <c r="O42" s="26"/>
      <c r="P42" s="26"/>
      <c r="Q42" s="26"/>
      <c r="R42" s="19"/>
      <c r="S42" s="326"/>
      <c r="T42" s="326"/>
      <c r="U42" s="1">
        <v>1</v>
      </c>
    </row>
    <row r="43" spans="1:25" ht="14.25">
      <c r="A43" s="21">
        <v>1</v>
      </c>
      <c r="B43" s="22" t="s">
        <v>51</v>
      </c>
      <c r="C43" s="23">
        <v>54</v>
      </c>
      <c r="D43" s="23">
        <v>54</v>
      </c>
      <c r="E43" s="23">
        <f>'[7]1.RSP Districts '!E43</f>
        <v>54</v>
      </c>
      <c r="F43" s="88">
        <f t="shared" ref="F43:F77" si="9">(E43-D43)/D43%</f>
        <v>0</v>
      </c>
      <c r="G43" s="88">
        <f t="shared" ref="G43:G77" si="10">E43/C43%</f>
        <v>100</v>
      </c>
      <c r="H43" s="23">
        <v>189</v>
      </c>
      <c r="I43" s="23">
        <f>'[7]1.RSP Districts '!I43</f>
        <v>189</v>
      </c>
      <c r="J43" s="23">
        <v>115585</v>
      </c>
      <c r="K43" s="23">
        <v>57606</v>
      </c>
      <c r="L43" s="23">
        <f>'[7]1.RSP Districts '!L43</f>
        <v>57606</v>
      </c>
      <c r="M43" s="88">
        <f t="shared" ref="M43:M77" si="11">(L43-K43)/K43%</f>
        <v>0</v>
      </c>
      <c r="N43" s="88">
        <f t="shared" ref="N43:N77" si="12">L43/J43%</f>
        <v>49.838646883246099</v>
      </c>
      <c r="O43" s="23">
        <v>2017</v>
      </c>
      <c r="P43" s="23">
        <f>'[7]1.RSP Districts '!P43</f>
        <v>2017</v>
      </c>
      <c r="Q43" s="88">
        <f t="shared" ref="Q43:Q77" si="13">(P43-O43)/O43%</f>
        <v>0</v>
      </c>
      <c r="R43" s="314" t="s">
        <v>9</v>
      </c>
      <c r="S43" s="23" t="str">
        <f>'[7]1.RSP Districts '!S43</f>
        <v>Yes</v>
      </c>
      <c r="T43" s="23">
        <f>'[7]1.RSP Districts '!T43</f>
        <v>5</v>
      </c>
      <c r="U43" s="1">
        <v>1</v>
      </c>
      <c r="V43" s="201">
        <f>I43-'[8]1.RSP Districts '!I43</f>
        <v>189</v>
      </c>
      <c r="W43" s="201">
        <f>P43-'[9]1.RSP Districts '!$P$43</f>
        <v>2017</v>
      </c>
    </row>
    <row r="44" spans="1:25" ht="14.25">
      <c r="A44" s="21">
        <v>2</v>
      </c>
      <c r="B44" s="22" t="s">
        <v>276</v>
      </c>
      <c r="C44" s="23">
        <v>49</v>
      </c>
      <c r="D44" s="23"/>
      <c r="E44" s="23"/>
      <c r="F44" s="88">
        <v>0</v>
      </c>
      <c r="G44" s="88">
        <f t="shared" si="10"/>
        <v>0</v>
      </c>
      <c r="H44" s="88"/>
      <c r="I44" s="88"/>
      <c r="J44" s="144">
        <v>65010</v>
      </c>
      <c r="K44" s="23"/>
      <c r="L44" s="23"/>
      <c r="M44" s="88">
        <v>0</v>
      </c>
      <c r="N44" s="88">
        <v>0</v>
      </c>
      <c r="O44" s="23"/>
      <c r="P44" s="24"/>
      <c r="Q44" s="88">
        <v>0</v>
      </c>
      <c r="R44" s="24">
        <v>0</v>
      </c>
      <c r="S44" s="23"/>
      <c r="T44" s="23"/>
      <c r="U44" s="1">
        <v>1</v>
      </c>
    </row>
    <row r="45" spans="1:25" ht="14.25">
      <c r="A45" s="21">
        <v>3</v>
      </c>
      <c r="B45" s="22" t="s">
        <v>52</v>
      </c>
      <c r="C45" s="23">
        <v>20</v>
      </c>
      <c r="D45" s="23">
        <v>18</v>
      </c>
      <c r="E45" s="23">
        <f>'[7]1.RSP Districts '!E45</f>
        <v>18</v>
      </c>
      <c r="F45" s="88">
        <f t="shared" si="9"/>
        <v>0</v>
      </c>
      <c r="G45" s="88">
        <f t="shared" si="10"/>
        <v>90</v>
      </c>
      <c r="H45" s="23">
        <v>92</v>
      </c>
      <c r="I45" s="23">
        <f>'[7]1.RSP Districts '!I45</f>
        <v>92</v>
      </c>
      <c r="J45" s="23">
        <v>46053</v>
      </c>
      <c r="K45" s="23">
        <v>36501</v>
      </c>
      <c r="L45" s="23">
        <f>'[7]1.RSP Districts '!L45</f>
        <v>36501</v>
      </c>
      <c r="M45" s="88">
        <f t="shared" si="11"/>
        <v>0</v>
      </c>
      <c r="N45" s="88">
        <f t="shared" si="12"/>
        <v>79.258680216272566</v>
      </c>
      <c r="O45" s="23">
        <v>1502</v>
      </c>
      <c r="P45" s="23">
        <f>'[7]1.RSP Districts '!P45</f>
        <v>1502</v>
      </c>
      <c r="Q45" s="88">
        <f t="shared" si="13"/>
        <v>0</v>
      </c>
      <c r="R45" s="314" t="s">
        <v>9</v>
      </c>
      <c r="S45" s="23" t="str">
        <f>'[7]1.RSP Districts '!S45</f>
        <v>Yes</v>
      </c>
      <c r="T45" s="23">
        <f>'[7]1.RSP Districts '!T45</f>
        <v>2</v>
      </c>
      <c r="U45" s="1">
        <v>1</v>
      </c>
      <c r="V45" s="201">
        <f>I45-'[8]1.RSP Districts '!I45</f>
        <v>92</v>
      </c>
      <c r="W45" s="201">
        <f>P45-'[9]1.RSP Districts '!$P$43</f>
        <v>1502</v>
      </c>
    </row>
    <row r="46" spans="1:25" ht="14.25">
      <c r="A46" s="21">
        <v>4</v>
      </c>
      <c r="B46" s="22" t="s">
        <v>53</v>
      </c>
      <c r="C46" s="23">
        <v>27</v>
      </c>
      <c r="D46" s="34">
        <v>5</v>
      </c>
      <c r="E46" s="34">
        <f>'[3]1.RSP Districts '!E46</f>
        <v>5</v>
      </c>
      <c r="F46" s="88">
        <f t="shared" si="9"/>
        <v>0</v>
      </c>
      <c r="G46" s="88">
        <f t="shared" si="10"/>
        <v>18.518518518518519</v>
      </c>
      <c r="H46" s="34">
        <v>167</v>
      </c>
      <c r="I46" s="34">
        <f>'[3]1.RSP Districts '!I46</f>
        <v>167</v>
      </c>
      <c r="J46" s="23">
        <v>56591</v>
      </c>
      <c r="K46" s="23">
        <v>269</v>
      </c>
      <c r="L46" s="34">
        <f>'[3]1.RSP Districts '!L46</f>
        <v>269</v>
      </c>
      <c r="M46" s="88">
        <f t="shared" si="11"/>
        <v>0</v>
      </c>
      <c r="N46" s="88">
        <f t="shared" si="12"/>
        <v>0.475340601862487</v>
      </c>
      <c r="O46" s="23">
        <v>19</v>
      </c>
      <c r="P46" s="34">
        <f>'[3]1.RSP Districts '!P46</f>
        <v>19</v>
      </c>
      <c r="Q46" s="88">
        <f t="shared" si="13"/>
        <v>0</v>
      </c>
      <c r="R46" s="314" t="s">
        <v>5</v>
      </c>
      <c r="S46" s="34" t="str">
        <f>'[3]1.RSP Districts '!S46</f>
        <v>No</v>
      </c>
      <c r="T46" s="34">
        <f>'[3]1.RSP Districts '!T46</f>
        <v>1</v>
      </c>
      <c r="U46" s="1">
        <v>1</v>
      </c>
      <c r="Y46" s="201" t="e">
        <f>I46-'[4]1.RSP Districts '!I46</f>
        <v>#REF!</v>
      </c>
    </row>
    <row r="47" spans="1:25" ht="14.25">
      <c r="A47" s="21">
        <v>4</v>
      </c>
      <c r="B47" s="22" t="s">
        <v>54</v>
      </c>
      <c r="C47" s="23">
        <v>27</v>
      </c>
      <c r="D47" s="23">
        <v>21</v>
      </c>
      <c r="E47" s="23">
        <f>'[7]1.RSP Districts '!E47</f>
        <v>21</v>
      </c>
      <c r="F47" s="88">
        <f t="shared" si="9"/>
        <v>0</v>
      </c>
      <c r="G47" s="88">
        <f t="shared" si="10"/>
        <v>77.777777777777771</v>
      </c>
      <c r="H47" s="23">
        <v>111</v>
      </c>
      <c r="I47" s="23">
        <f>'[7]1.RSP Districts '!I47</f>
        <v>111</v>
      </c>
      <c r="J47" s="23">
        <v>56591</v>
      </c>
      <c r="K47" s="23">
        <v>17262</v>
      </c>
      <c r="L47" s="23">
        <f>'[7]1.RSP Districts '!L47</f>
        <v>18960</v>
      </c>
      <c r="M47" s="88">
        <f t="shared" si="11"/>
        <v>9.8366353840806386</v>
      </c>
      <c r="N47" s="88">
        <f t="shared" si="12"/>
        <v>33.503560636850388</v>
      </c>
      <c r="O47" s="23">
        <v>749</v>
      </c>
      <c r="P47" s="23">
        <f>'[7]1.RSP Districts '!P47</f>
        <v>818</v>
      </c>
      <c r="Q47" s="88">
        <f t="shared" si="13"/>
        <v>9.2122830440587453</v>
      </c>
      <c r="R47" s="314" t="s">
        <v>9</v>
      </c>
      <c r="S47" s="23" t="str">
        <f>'[7]1.RSP Districts '!S47</f>
        <v>Yes</v>
      </c>
      <c r="T47" s="23">
        <f>'[7]1.RSP Districts '!T47</f>
        <v>2</v>
      </c>
      <c r="U47" s="1">
        <v>1</v>
      </c>
      <c r="V47" s="201">
        <f>I47-'[8]1.RSP Districts '!I47</f>
        <v>111</v>
      </c>
      <c r="W47" s="201">
        <f>P47-'[9]1.RSP Districts '!$P$43</f>
        <v>818</v>
      </c>
    </row>
    <row r="48" spans="1:25" ht="14.25">
      <c r="A48" s="21">
        <v>5</v>
      </c>
      <c r="B48" s="22" t="s">
        <v>55</v>
      </c>
      <c r="C48" s="23">
        <v>49</v>
      </c>
      <c r="D48" s="34">
        <v>28</v>
      </c>
      <c r="E48" s="34">
        <f>'[3]1.RSP Districts '!E48</f>
        <v>28</v>
      </c>
      <c r="F48" s="88">
        <f t="shared" si="9"/>
        <v>0</v>
      </c>
      <c r="G48" s="88">
        <f t="shared" si="10"/>
        <v>57.142857142857146</v>
      </c>
      <c r="H48" s="34">
        <v>226</v>
      </c>
      <c r="I48" s="34">
        <f>'[3]1.RSP Districts '!I48</f>
        <v>226</v>
      </c>
      <c r="J48" s="23">
        <v>102361</v>
      </c>
      <c r="K48" s="23">
        <v>12926</v>
      </c>
      <c r="L48" s="34">
        <f>'[3]1.RSP Districts '!L48</f>
        <v>13046</v>
      </c>
      <c r="M48" s="88">
        <f t="shared" si="11"/>
        <v>0.92836144205477344</v>
      </c>
      <c r="N48" s="88">
        <f t="shared" si="12"/>
        <v>12.745088461425738</v>
      </c>
      <c r="O48" s="23">
        <v>736</v>
      </c>
      <c r="P48" s="34">
        <f>'[3]1.RSP Districts '!P48</f>
        <v>746</v>
      </c>
      <c r="Q48" s="88">
        <f t="shared" si="13"/>
        <v>1.3586956521739131</v>
      </c>
      <c r="R48" s="314" t="s">
        <v>5</v>
      </c>
      <c r="S48" s="34" t="str">
        <f>'[3]1.RSP Districts '!S48</f>
        <v>No</v>
      </c>
      <c r="T48" s="34">
        <f>'[3]1.RSP Districts '!T48</f>
        <v>0</v>
      </c>
      <c r="U48" s="1">
        <v>1</v>
      </c>
      <c r="Y48" s="201" t="e">
        <f>I48-'[4]1.RSP Districts '!I48</f>
        <v>#REF!</v>
      </c>
    </row>
    <row r="49" spans="1:25" ht="14.25">
      <c r="A49" s="21">
        <v>5</v>
      </c>
      <c r="B49" s="22" t="s">
        <v>56</v>
      </c>
      <c r="C49" s="23">
        <v>49</v>
      </c>
      <c r="D49" s="23">
        <v>37</v>
      </c>
      <c r="E49" s="23">
        <f>'[7]1.RSP Districts '!E49</f>
        <v>37</v>
      </c>
      <c r="F49" s="88">
        <f t="shared" si="9"/>
        <v>0</v>
      </c>
      <c r="G49" s="88">
        <f t="shared" si="10"/>
        <v>75.510204081632651</v>
      </c>
      <c r="H49" s="23">
        <v>68</v>
      </c>
      <c r="I49" s="23">
        <f>'[7]1.RSP Districts '!I49</f>
        <v>68</v>
      </c>
      <c r="J49" s="23">
        <v>102361</v>
      </c>
      <c r="K49" s="23">
        <v>37963</v>
      </c>
      <c r="L49" s="23">
        <f>'[7]1.RSP Districts '!L49</f>
        <v>37963</v>
      </c>
      <c r="M49" s="88">
        <f t="shared" si="11"/>
        <v>0</v>
      </c>
      <c r="N49" s="88">
        <f t="shared" si="12"/>
        <v>37.087367259014663</v>
      </c>
      <c r="O49" s="23">
        <v>1652</v>
      </c>
      <c r="P49" s="23">
        <f>'[7]1.RSP Districts '!P49</f>
        <v>1652</v>
      </c>
      <c r="Q49" s="88">
        <f t="shared" si="13"/>
        <v>0</v>
      </c>
      <c r="R49" s="314" t="s">
        <v>9</v>
      </c>
      <c r="S49" s="23" t="str">
        <f>'[7]1.RSP Districts '!S49</f>
        <v>Yes</v>
      </c>
      <c r="T49" s="23">
        <f>'[7]1.RSP Districts '!T49</f>
        <v>6</v>
      </c>
      <c r="U49" s="1">
        <v>1</v>
      </c>
      <c r="V49" s="201">
        <f>I49-'[8]1.RSP Districts '!I49</f>
        <v>68</v>
      </c>
      <c r="W49" s="201">
        <f>P49-'[9]1.RSP Districts '!$P$43</f>
        <v>1652</v>
      </c>
    </row>
    <row r="50" spans="1:25" ht="14.25">
      <c r="A50" s="21">
        <v>6</v>
      </c>
      <c r="B50" s="22" t="s">
        <v>57</v>
      </c>
      <c r="C50" s="23">
        <v>24</v>
      </c>
      <c r="D50" s="23">
        <v>24</v>
      </c>
      <c r="E50" s="23">
        <f>'[10]1.RSP Districts '!E50</f>
        <v>24</v>
      </c>
      <c r="F50" s="88">
        <f t="shared" si="9"/>
        <v>0</v>
      </c>
      <c r="G50" s="88">
        <f t="shared" si="10"/>
        <v>100</v>
      </c>
      <c r="H50" s="23">
        <v>378</v>
      </c>
      <c r="I50" s="23">
        <f>'[10]1.RSP Districts '!I50</f>
        <v>378</v>
      </c>
      <c r="J50" s="23">
        <v>36879</v>
      </c>
      <c r="K50" s="23">
        <v>34914</v>
      </c>
      <c r="L50" s="23">
        <f>'[10]1.RSP Districts '!L50</f>
        <v>34914</v>
      </c>
      <c r="M50" s="88">
        <f t="shared" si="11"/>
        <v>0</v>
      </c>
      <c r="N50" s="88">
        <f t="shared" si="12"/>
        <v>94.671764418774913</v>
      </c>
      <c r="O50" s="23">
        <v>1680</v>
      </c>
      <c r="P50" s="23">
        <f>'[10]1.RSP Districts '!P50</f>
        <v>1680</v>
      </c>
      <c r="Q50" s="88">
        <f t="shared" si="13"/>
        <v>0</v>
      </c>
      <c r="R50" s="314" t="s">
        <v>2</v>
      </c>
      <c r="S50" s="23" t="str">
        <f>'[10]1.RSP Districts '!S50</f>
        <v>Yes</v>
      </c>
      <c r="T50" s="23"/>
      <c r="U50" s="1">
        <v>1</v>
      </c>
    </row>
    <row r="51" spans="1:25" ht="14.25">
      <c r="A51" s="21">
        <v>6</v>
      </c>
      <c r="B51" s="22" t="s">
        <v>58</v>
      </c>
      <c r="C51" s="23">
        <v>24</v>
      </c>
      <c r="D51" s="23">
        <v>24</v>
      </c>
      <c r="E51" s="23">
        <f>'[7]1.RSP Districts '!E51</f>
        <v>24</v>
      </c>
      <c r="F51" s="88">
        <f t="shared" si="9"/>
        <v>0</v>
      </c>
      <c r="G51" s="88">
        <f t="shared" si="10"/>
        <v>100</v>
      </c>
      <c r="H51" s="23">
        <v>523</v>
      </c>
      <c r="I51" s="23">
        <f>'[7]1.RSP Districts '!I51</f>
        <v>523</v>
      </c>
      <c r="J51" s="23">
        <v>36879</v>
      </c>
      <c r="K51" s="23">
        <v>40397</v>
      </c>
      <c r="L51" s="23">
        <f>'[7]1.RSP Districts '!L51</f>
        <v>41271</v>
      </c>
      <c r="M51" s="88">
        <f t="shared" si="11"/>
        <v>2.1635269945788052</v>
      </c>
      <c r="N51" s="88">
        <f t="shared" si="12"/>
        <v>111.9092166273489</v>
      </c>
      <c r="O51" s="23">
        <v>1382</v>
      </c>
      <c r="P51" s="23">
        <f>'[7]1.RSP Districts '!P51</f>
        <v>1395</v>
      </c>
      <c r="Q51" s="88">
        <f t="shared" si="13"/>
        <v>0.94066570188133136</v>
      </c>
      <c r="R51" s="314" t="s">
        <v>9</v>
      </c>
      <c r="S51" s="23" t="str">
        <f>'[7]1.RSP Districts '!S51</f>
        <v>Yes</v>
      </c>
      <c r="T51" s="23">
        <f>'[7]1.RSP Districts '!T51</f>
        <v>3</v>
      </c>
      <c r="U51" s="1">
        <v>1</v>
      </c>
      <c r="V51" s="201">
        <f>I51-'[8]1.RSP Districts '!I51</f>
        <v>523</v>
      </c>
      <c r="W51" s="201">
        <f>P51-'[9]1.RSP Districts '!$P$43</f>
        <v>1395</v>
      </c>
    </row>
    <row r="52" spans="1:25" ht="14.25">
      <c r="A52" s="21">
        <v>7</v>
      </c>
      <c r="B52" s="22" t="s">
        <v>59</v>
      </c>
      <c r="C52" s="23">
        <v>28</v>
      </c>
      <c r="D52" s="23">
        <v>25</v>
      </c>
      <c r="E52" s="23">
        <f>'[7]1.RSP Districts '!E52</f>
        <v>25</v>
      </c>
      <c r="F52" s="88">
        <f t="shared" si="9"/>
        <v>0</v>
      </c>
      <c r="G52" s="88">
        <f t="shared" si="10"/>
        <v>89.285714285714278</v>
      </c>
      <c r="H52" s="23">
        <v>328</v>
      </c>
      <c r="I52" s="23">
        <f>'[7]1.RSP Districts '!I52</f>
        <v>328</v>
      </c>
      <c r="J52" s="23">
        <v>70230</v>
      </c>
      <c r="K52" s="23">
        <v>63166</v>
      </c>
      <c r="L52" s="23">
        <f>'[7]1.RSP Districts '!L52</f>
        <v>64522</v>
      </c>
      <c r="M52" s="88">
        <f t="shared" si="11"/>
        <v>2.1467245036886933</v>
      </c>
      <c r="N52" s="88">
        <f t="shared" si="12"/>
        <v>91.872419194076613</v>
      </c>
      <c r="O52" s="23">
        <v>2070</v>
      </c>
      <c r="P52" s="23">
        <f>'[7]1.RSP Districts '!P52</f>
        <v>2129</v>
      </c>
      <c r="Q52" s="88">
        <f>(P52-O52)/O52%</f>
        <v>2.85024154589372</v>
      </c>
      <c r="R52" s="314" t="s">
        <v>9</v>
      </c>
      <c r="S52" s="23" t="str">
        <f>'[7]1.RSP Districts '!S52</f>
        <v>Yes</v>
      </c>
      <c r="T52" s="23">
        <f>'[7]1.RSP Districts '!T52</f>
        <v>3</v>
      </c>
      <c r="U52" s="1">
        <v>1</v>
      </c>
      <c r="V52" s="201">
        <f>I52-'[8]1.RSP Districts '!I52</f>
        <v>328</v>
      </c>
      <c r="W52" s="201">
        <f>P52-'[9]1.RSP Districts '!$P$43</f>
        <v>2129</v>
      </c>
    </row>
    <row r="53" spans="1:25" ht="14.25">
      <c r="A53" s="21">
        <v>8</v>
      </c>
      <c r="B53" s="22" t="s">
        <v>194</v>
      </c>
      <c r="C53" s="23">
        <v>37</v>
      </c>
      <c r="D53" s="23">
        <v>28</v>
      </c>
      <c r="E53" s="23">
        <f>'[7]1.RSP Districts '!E53</f>
        <v>28</v>
      </c>
      <c r="F53" s="88">
        <f t="shared" si="9"/>
        <v>0</v>
      </c>
      <c r="G53" s="88">
        <f t="shared" si="10"/>
        <v>75.675675675675677</v>
      </c>
      <c r="H53" s="23">
        <v>140</v>
      </c>
      <c r="I53" s="23">
        <f>'[7]1.RSP Districts '!I53</f>
        <v>140</v>
      </c>
      <c r="J53" s="144">
        <v>73626</v>
      </c>
      <c r="K53" s="23">
        <v>26701</v>
      </c>
      <c r="L53" s="23">
        <f>'[7]1.RSP Districts '!L53</f>
        <v>26776</v>
      </c>
      <c r="M53" s="88">
        <v>0</v>
      </c>
      <c r="N53" s="88">
        <v>0</v>
      </c>
      <c r="O53" s="23">
        <v>1133</v>
      </c>
      <c r="P53" s="23">
        <f>'[7]1.RSP Districts '!P53</f>
        <v>1136</v>
      </c>
      <c r="Q53" s="88">
        <f>(P53-O53)/O53%</f>
        <v>0.26478375992939102</v>
      </c>
      <c r="R53" s="24" t="s">
        <v>9</v>
      </c>
      <c r="S53" s="23" t="str">
        <f>'[7]1.RSP Districts '!S53</f>
        <v>Yes</v>
      </c>
      <c r="T53" s="23">
        <f>'[7]1.RSP Districts '!T53</f>
        <v>2</v>
      </c>
      <c r="U53" s="1">
        <v>1</v>
      </c>
      <c r="V53" s="201">
        <f>I53-'[8]1.RSP Districts '!I53</f>
        <v>140</v>
      </c>
      <c r="W53" s="201">
        <f>P53-'[9]1.RSP Districts '!$P$43</f>
        <v>1136</v>
      </c>
    </row>
    <row r="54" spans="1:25" ht="14.25">
      <c r="A54" s="21">
        <v>9</v>
      </c>
      <c r="B54" s="22" t="s">
        <v>195</v>
      </c>
      <c r="C54" s="23">
        <v>47</v>
      </c>
      <c r="D54" s="23">
        <v>0</v>
      </c>
      <c r="E54" s="23">
        <f>'[7]1.RSP Districts '!E54</f>
        <v>0</v>
      </c>
      <c r="F54" s="88">
        <v>0</v>
      </c>
      <c r="G54" s="88">
        <f t="shared" si="10"/>
        <v>0</v>
      </c>
      <c r="H54" s="23">
        <v>0</v>
      </c>
      <c r="I54" s="23">
        <f>'[7]1.RSP Districts '!I54</f>
        <v>0</v>
      </c>
      <c r="J54" s="144">
        <v>99528</v>
      </c>
      <c r="K54" s="23">
        <v>0</v>
      </c>
      <c r="L54" s="23">
        <f>'[7]1.RSP Districts '!L54</f>
        <v>0</v>
      </c>
      <c r="M54" s="88">
        <v>0</v>
      </c>
      <c r="N54" s="88">
        <v>0</v>
      </c>
      <c r="O54" s="23">
        <v>0</v>
      </c>
      <c r="P54" s="23">
        <f>'[7]1.RSP Districts '!P54</f>
        <v>0</v>
      </c>
      <c r="Q54" s="88">
        <v>0</v>
      </c>
      <c r="R54" s="24" t="s">
        <v>9</v>
      </c>
      <c r="S54" s="23" t="str">
        <f>'[7]1.RSP Districts '!S54</f>
        <v>Yes</v>
      </c>
      <c r="T54" s="23">
        <f>'[7]1.RSP Districts '!T54</f>
        <v>1</v>
      </c>
      <c r="U54" s="1">
        <v>1</v>
      </c>
      <c r="V54" s="201">
        <f>I54-'[8]1.RSP Districts '!I54</f>
        <v>0</v>
      </c>
      <c r="W54" s="201">
        <f>P54-'[9]1.RSP Districts '!$P$43</f>
        <v>0</v>
      </c>
    </row>
    <row r="55" spans="1:25" ht="14.25">
      <c r="A55" s="21">
        <v>10</v>
      </c>
      <c r="B55" s="22" t="s">
        <v>60</v>
      </c>
      <c r="C55" s="23">
        <v>19</v>
      </c>
      <c r="D55" s="23">
        <v>17</v>
      </c>
      <c r="E55" s="23">
        <f>'[7]1.RSP Districts '!E55</f>
        <v>17</v>
      </c>
      <c r="F55" s="88">
        <f t="shared" si="9"/>
        <v>0</v>
      </c>
      <c r="G55" s="88">
        <f t="shared" si="10"/>
        <v>89.473684210526315</v>
      </c>
      <c r="H55" s="23">
        <v>337</v>
      </c>
      <c r="I55" s="23">
        <f>'[7]1.RSP Districts '!I55</f>
        <v>337</v>
      </c>
      <c r="J55" s="23">
        <v>24536</v>
      </c>
      <c r="K55" s="23">
        <v>14204</v>
      </c>
      <c r="L55" s="23">
        <f>'[7]1.RSP Districts '!L55</f>
        <v>14204</v>
      </c>
      <c r="M55" s="88">
        <f t="shared" si="11"/>
        <v>0</v>
      </c>
      <c r="N55" s="88">
        <f t="shared" si="12"/>
        <v>57.890446690577107</v>
      </c>
      <c r="O55" s="23">
        <v>505</v>
      </c>
      <c r="P55" s="23">
        <f>'[7]1.RSP Districts '!P55</f>
        <v>505</v>
      </c>
      <c r="Q55" s="88">
        <f>(P55-O55)/O55%</f>
        <v>0</v>
      </c>
      <c r="R55" s="314" t="s">
        <v>9</v>
      </c>
      <c r="S55" s="23" t="str">
        <f>'[7]1.RSP Districts '!S55</f>
        <v>No</v>
      </c>
      <c r="T55" s="23">
        <f>'[7]1.RSP Districts '!T55</f>
        <v>0</v>
      </c>
      <c r="U55" s="1">
        <v>1</v>
      </c>
      <c r="V55" s="201">
        <f>I55-'[8]1.RSP Districts '!I55</f>
        <v>337</v>
      </c>
      <c r="W55" s="201">
        <f>P55-'[9]1.RSP Districts '!$P$43</f>
        <v>505</v>
      </c>
    </row>
    <row r="56" spans="1:25" ht="14.25">
      <c r="A56" s="21">
        <v>11</v>
      </c>
      <c r="B56" s="22" t="s">
        <v>61</v>
      </c>
      <c r="C56" s="23">
        <v>45</v>
      </c>
      <c r="D56" s="23">
        <v>4</v>
      </c>
      <c r="E56" s="23">
        <f>'[2]1.RSP Districts '!E56</f>
        <v>4</v>
      </c>
      <c r="F56" s="88">
        <f t="shared" si="9"/>
        <v>0</v>
      </c>
      <c r="G56" s="88">
        <f t="shared" si="10"/>
        <v>8.8888888888888893</v>
      </c>
      <c r="H56" s="23">
        <v>22</v>
      </c>
      <c r="I56" s="23">
        <f>'[2]1.RSP Districts '!I56</f>
        <v>22</v>
      </c>
      <c r="J56" s="23">
        <v>94383</v>
      </c>
      <c r="K56" s="23">
        <v>7370</v>
      </c>
      <c r="L56" s="23">
        <f>'[2]1.RSP Districts '!L56</f>
        <v>7380</v>
      </c>
      <c r="M56" s="88">
        <f t="shared" si="11"/>
        <v>0.13568521031207598</v>
      </c>
      <c r="N56" s="88">
        <f t="shared" si="12"/>
        <v>7.8192047296652998</v>
      </c>
      <c r="O56" s="23">
        <v>761</v>
      </c>
      <c r="P56" s="23">
        <f>'[2]1.RSP Districts '!P56</f>
        <v>762</v>
      </c>
      <c r="Q56" s="88">
        <f t="shared" si="13"/>
        <v>0.13140604467805519</v>
      </c>
      <c r="R56" s="314" t="s">
        <v>4</v>
      </c>
      <c r="S56" s="23" t="str">
        <f>'[2]1.RSP Districts '!S56</f>
        <v>No</v>
      </c>
      <c r="T56" s="23">
        <f>'[2]1.RSP Districts '!T56</f>
        <v>3</v>
      </c>
      <c r="U56" s="1">
        <v>1</v>
      </c>
    </row>
    <row r="57" spans="1:25" ht="14.25">
      <c r="A57" s="21">
        <v>11</v>
      </c>
      <c r="B57" s="22" t="s">
        <v>62</v>
      </c>
      <c r="C57" s="23">
        <v>45</v>
      </c>
      <c r="D57" s="23">
        <v>45</v>
      </c>
      <c r="E57" s="23">
        <f>'[7]1.RSP Districts '!E57</f>
        <v>45</v>
      </c>
      <c r="F57" s="88">
        <f t="shared" si="9"/>
        <v>0</v>
      </c>
      <c r="G57" s="88">
        <f t="shared" si="10"/>
        <v>100</v>
      </c>
      <c r="H57" s="23">
        <v>157</v>
      </c>
      <c r="I57" s="23">
        <f>'[7]1.RSP Districts '!I57</f>
        <v>157</v>
      </c>
      <c r="J57" s="23">
        <v>94383</v>
      </c>
      <c r="K57" s="23">
        <v>44474</v>
      </c>
      <c r="L57" s="23">
        <f>'[7]1.RSP Districts '!L57</f>
        <v>44474</v>
      </c>
      <c r="M57" s="88">
        <f t="shared" si="11"/>
        <v>0</v>
      </c>
      <c r="N57" s="88">
        <f t="shared" si="12"/>
        <v>47.120773868175412</v>
      </c>
      <c r="O57" s="23">
        <v>1475</v>
      </c>
      <c r="P57" s="23">
        <f>'[7]1.RSP Districts '!P57</f>
        <v>1475</v>
      </c>
      <c r="Q57" s="88">
        <f>(P57-O57)/O57%</f>
        <v>0</v>
      </c>
      <c r="R57" s="314" t="s">
        <v>9</v>
      </c>
      <c r="S57" s="23" t="str">
        <f>'[7]1.RSP Districts '!S57</f>
        <v>Yes</v>
      </c>
      <c r="T57" s="23">
        <f>'[7]1.RSP Districts '!T57</f>
        <v>5</v>
      </c>
      <c r="U57" s="1">
        <v>1</v>
      </c>
      <c r="V57" s="201">
        <f>I57-'[8]1.RSP Districts '!I57</f>
        <v>157</v>
      </c>
      <c r="W57" s="201">
        <f>P57-'[9]1.RSP Districts '!$P$43</f>
        <v>1475</v>
      </c>
    </row>
    <row r="58" spans="1:25" ht="14.25">
      <c r="A58" s="21">
        <v>11</v>
      </c>
      <c r="B58" s="22" t="s">
        <v>62</v>
      </c>
      <c r="C58" s="23">
        <v>45</v>
      </c>
      <c r="D58" s="34">
        <v>2</v>
      </c>
      <c r="E58" s="34">
        <f>'[3]1.RSP Districts '!E58</f>
        <v>2</v>
      </c>
      <c r="F58" s="88">
        <f t="shared" si="9"/>
        <v>0</v>
      </c>
      <c r="G58" s="88">
        <f t="shared" si="10"/>
        <v>4.4444444444444446</v>
      </c>
      <c r="H58" s="34">
        <v>16</v>
      </c>
      <c r="I58" s="34">
        <f>'[3]1.RSP Districts '!I58</f>
        <v>16</v>
      </c>
      <c r="J58" s="23">
        <v>94383</v>
      </c>
      <c r="K58" s="23">
        <v>4794</v>
      </c>
      <c r="L58" s="34">
        <f>'[3]1.RSP Districts '!L58</f>
        <v>4794</v>
      </c>
      <c r="M58" s="88">
        <f t="shared" si="11"/>
        <v>0</v>
      </c>
      <c r="N58" s="88">
        <f t="shared" si="12"/>
        <v>5.0793045357744511</v>
      </c>
      <c r="O58" s="23">
        <v>324</v>
      </c>
      <c r="P58" s="34">
        <f>'[3]1.RSP Districts '!P58</f>
        <v>324</v>
      </c>
      <c r="Q58" s="88">
        <f t="shared" si="13"/>
        <v>0</v>
      </c>
      <c r="R58" s="314" t="s">
        <v>5</v>
      </c>
      <c r="S58" s="34" t="str">
        <f>'[3]1.RSP Districts '!S58</f>
        <v>No</v>
      </c>
      <c r="T58" s="34">
        <f>'[3]1.RSP Districts '!T58</f>
        <v>1</v>
      </c>
      <c r="U58" s="1">
        <v>1</v>
      </c>
      <c r="Y58" s="201" t="e">
        <f>I58-'[4]1.RSP Districts '!I58</f>
        <v>#REF!</v>
      </c>
    </row>
    <row r="59" spans="1:25" ht="14.25">
      <c r="A59" s="21">
        <v>12</v>
      </c>
      <c r="B59" s="22" t="s">
        <v>63</v>
      </c>
      <c r="C59" s="23">
        <v>21</v>
      </c>
      <c r="D59" s="23">
        <v>21</v>
      </c>
      <c r="E59" s="23">
        <f>'[7]1.RSP Districts '!E59</f>
        <v>21</v>
      </c>
      <c r="F59" s="88">
        <f t="shared" si="9"/>
        <v>0</v>
      </c>
      <c r="G59" s="88">
        <f t="shared" si="10"/>
        <v>100</v>
      </c>
      <c r="H59" s="23">
        <v>117</v>
      </c>
      <c r="I59" s="23">
        <f>'[7]1.RSP Districts '!I59</f>
        <v>117</v>
      </c>
      <c r="J59" s="23">
        <v>40734</v>
      </c>
      <c r="K59" s="23">
        <v>49483</v>
      </c>
      <c r="L59" s="23">
        <f>'[7]1.RSP Districts '!L59</f>
        <v>49483</v>
      </c>
      <c r="M59" s="88">
        <f t="shared" si="11"/>
        <v>0</v>
      </c>
      <c r="N59" s="88">
        <f t="shared" si="12"/>
        <v>121.47837187607405</v>
      </c>
      <c r="O59" s="23">
        <v>1997</v>
      </c>
      <c r="P59" s="23">
        <f>'[7]1.RSP Districts '!P59</f>
        <v>1997</v>
      </c>
      <c r="Q59" s="88">
        <f>(P59-O59)/O59%</f>
        <v>0</v>
      </c>
      <c r="R59" s="314" t="s">
        <v>9</v>
      </c>
      <c r="S59" s="23" t="str">
        <f>'[7]1.RSP Districts '!S59</f>
        <v>Yes</v>
      </c>
      <c r="T59" s="23">
        <f>'[7]1.RSP Districts '!T59</f>
        <v>1</v>
      </c>
      <c r="U59" s="1">
        <v>1</v>
      </c>
      <c r="V59" s="201">
        <f>I59-'[8]1.RSP Districts '!I59</f>
        <v>117</v>
      </c>
      <c r="W59" s="201">
        <f>P59-'[9]1.RSP Districts '!$P$43</f>
        <v>1997</v>
      </c>
    </row>
    <row r="60" spans="1:25" ht="14.25">
      <c r="A60" s="21">
        <v>13</v>
      </c>
      <c r="B60" s="22" t="s">
        <v>64</v>
      </c>
      <c r="C60" s="23">
        <v>32</v>
      </c>
      <c r="D60" s="23">
        <v>32</v>
      </c>
      <c r="E60" s="23">
        <f>'[7]1.RSP Districts '!E60</f>
        <v>32</v>
      </c>
      <c r="F60" s="88">
        <f t="shared" si="9"/>
        <v>0</v>
      </c>
      <c r="G60" s="88">
        <f t="shared" si="10"/>
        <v>100</v>
      </c>
      <c r="H60" s="23">
        <v>243</v>
      </c>
      <c r="I60" s="23">
        <f>'[7]1.RSP Districts '!I60</f>
        <v>243</v>
      </c>
      <c r="J60" s="23">
        <v>55911</v>
      </c>
      <c r="K60" s="23">
        <v>69685</v>
      </c>
      <c r="L60" s="23">
        <f>'[7]1.RSP Districts '!L60</f>
        <v>69685</v>
      </c>
      <c r="M60" s="88">
        <f t="shared" si="11"/>
        <v>0</v>
      </c>
      <c r="N60" s="88">
        <f t="shared" si="12"/>
        <v>124.6355815492479</v>
      </c>
      <c r="O60" s="23">
        <v>3129</v>
      </c>
      <c r="P60" s="23">
        <f>'[7]1.RSP Districts '!P60</f>
        <v>3129</v>
      </c>
      <c r="Q60" s="88">
        <f>(P60-O60)/O60%</f>
        <v>0</v>
      </c>
      <c r="R60" s="314" t="s">
        <v>9</v>
      </c>
      <c r="S60" s="23" t="str">
        <f>'[7]1.RSP Districts '!S60</f>
        <v>Yes</v>
      </c>
      <c r="T60" s="23">
        <f>'[7]1.RSP Districts '!T60</f>
        <v>4</v>
      </c>
      <c r="U60" s="1">
        <v>1</v>
      </c>
      <c r="V60" s="201">
        <f>I60-'[8]1.RSP Districts '!I60</f>
        <v>243</v>
      </c>
      <c r="W60" s="201">
        <f>P60-'[9]1.RSP Districts '!$P$43</f>
        <v>3129</v>
      </c>
    </row>
    <row r="61" spans="1:25" ht="14.25">
      <c r="A61" s="21">
        <v>14</v>
      </c>
      <c r="B61" s="22" t="s">
        <v>65</v>
      </c>
      <c r="C61" s="23">
        <v>38</v>
      </c>
      <c r="D61" s="23">
        <v>38</v>
      </c>
      <c r="E61" s="23">
        <f>'[7]1.RSP Districts '!E61</f>
        <v>38</v>
      </c>
      <c r="F61" s="88">
        <f t="shared" si="9"/>
        <v>0</v>
      </c>
      <c r="G61" s="88">
        <f t="shared" si="10"/>
        <v>100</v>
      </c>
      <c r="H61" s="23">
        <v>132</v>
      </c>
      <c r="I61" s="23">
        <f>'[7]1.RSP Districts '!I61</f>
        <v>132</v>
      </c>
      <c r="J61" s="23">
        <v>74041</v>
      </c>
      <c r="K61" s="23">
        <v>36549</v>
      </c>
      <c r="L61" s="23">
        <f>'[7]1.RSP Districts '!L61</f>
        <v>36549</v>
      </c>
      <c r="M61" s="88">
        <f t="shared" si="11"/>
        <v>0</v>
      </c>
      <c r="N61" s="88">
        <f t="shared" si="12"/>
        <v>49.363190664631759</v>
      </c>
      <c r="O61" s="23">
        <v>2372</v>
      </c>
      <c r="P61" s="23">
        <f>'[7]1.RSP Districts '!P61</f>
        <v>2372</v>
      </c>
      <c r="Q61" s="88">
        <f>(P61-O61)/O61%</f>
        <v>0</v>
      </c>
      <c r="R61" s="314" t="s">
        <v>9</v>
      </c>
      <c r="S61" s="23" t="str">
        <f>'[7]1.RSP Districts '!S61</f>
        <v>Yes</v>
      </c>
      <c r="T61" s="23">
        <f>'[7]1.RSP Districts '!T61</f>
        <v>1</v>
      </c>
      <c r="U61" s="1">
        <v>1</v>
      </c>
      <c r="V61" s="201">
        <f>I61-'[8]1.RSP Districts '!I61</f>
        <v>132</v>
      </c>
      <c r="W61" s="201">
        <f>P61-'[9]1.RSP Districts '!$P$43</f>
        <v>2372</v>
      </c>
    </row>
    <row r="62" spans="1:25" ht="14.25">
      <c r="A62" s="21">
        <v>15</v>
      </c>
      <c r="B62" s="22" t="s">
        <v>197</v>
      </c>
      <c r="C62" s="23">
        <v>33</v>
      </c>
      <c r="D62" s="23"/>
      <c r="E62" s="23"/>
      <c r="F62" s="88">
        <v>0</v>
      </c>
      <c r="G62" s="88">
        <f t="shared" si="10"/>
        <v>0</v>
      </c>
      <c r="H62" s="88"/>
      <c r="I62" s="88"/>
      <c r="J62" s="144">
        <v>48700</v>
      </c>
      <c r="K62" s="23"/>
      <c r="L62" s="23"/>
      <c r="M62" s="88">
        <v>0</v>
      </c>
      <c r="N62" s="88">
        <v>0</v>
      </c>
      <c r="O62" s="23"/>
      <c r="P62" s="24"/>
      <c r="Q62" s="88">
        <v>0</v>
      </c>
      <c r="R62" s="24">
        <v>0</v>
      </c>
      <c r="S62" s="23"/>
      <c r="T62" s="23"/>
      <c r="U62" s="1">
        <v>1</v>
      </c>
    </row>
    <row r="63" spans="1:25" ht="14.25">
      <c r="A63" s="21">
        <v>16</v>
      </c>
      <c r="B63" s="22" t="s">
        <v>66</v>
      </c>
      <c r="C63" s="23">
        <v>28</v>
      </c>
      <c r="D63" s="34">
        <v>25</v>
      </c>
      <c r="E63" s="34">
        <f>'[3]1.RSP Districts '!E63</f>
        <v>25</v>
      </c>
      <c r="F63" s="88">
        <f t="shared" si="9"/>
        <v>0</v>
      </c>
      <c r="G63" s="88">
        <f t="shared" si="10"/>
        <v>89.285714285714278</v>
      </c>
      <c r="H63" s="34">
        <v>193</v>
      </c>
      <c r="I63" s="34">
        <f>'[3]1.RSP Districts '!I63</f>
        <v>193</v>
      </c>
      <c r="J63" s="23">
        <v>45731</v>
      </c>
      <c r="K63" s="23">
        <v>29406</v>
      </c>
      <c r="L63" s="34">
        <f>'[3]1.RSP Districts '!L63</f>
        <v>30762</v>
      </c>
      <c r="M63" s="88">
        <f t="shared" si="11"/>
        <v>4.6113038155478474</v>
      </c>
      <c r="N63" s="88">
        <f t="shared" si="12"/>
        <v>67.267280400603525</v>
      </c>
      <c r="O63" s="23">
        <v>1858</v>
      </c>
      <c r="P63" s="34">
        <f>'[3]1.RSP Districts '!P63</f>
        <v>1971</v>
      </c>
      <c r="Q63" s="88">
        <f t="shared" si="13"/>
        <v>6.0818083961248659</v>
      </c>
      <c r="R63" s="314" t="s">
        <v>5</v>
      </c>
      <c r="S63" s="34" t="str">
        <f>'[3]1.RSP Districts '!S63</f>
        <v>No</v>
      </c>
      <c r="T63" s="34">
        <f>'[3]1.RSP Districts '!T63</f>
        <v>0</v>
      </c>
      <c r="U63" s="1">
        <v>1</v>
      </c>
      <c r="Y63" s="201" t="e">
        <f>I63-'[4]1.RSP Districts '!I63</f>
        <v>#REF!</v>
      </c>
    </row>
    <row r="64" spans="1:25" ht="14.25">
      <c r="A64" s="21">
        <v>16</v>
      </c>
      <c r="B64" s="22" t="s">
        <v>236</v>
      </c>
      <c r="C64" s="23">
        <v>28</v>
      </c>
      <c r="D64" s="23">
        <v>13</v>
      </c>
      <c r="E64" s="23">
        <f>'[7]1.RSP Districts '!E64</f>
        <v>13</v>
      </c>
      <c r="F64" s="88">
        <f t="shared" si="9"/>
        <v>0</v>
      </c>
      <c r="G64" s="88">
        <f t="shared" si="10"/>
        <v>46.428571428571423</v>
      </c>
      <c r="H64" s="23">
        <v>43</v>
      </c>
      <c r="I64" s="23">
        <f>'[7]1.RSP Districts '!I64</f>
        <v>43</v>
      </c>
      <c r="J64" s="23">
        <v>45731</v>
      </c>
      <c r="K64" s="23">
        <v>13417</v>
      </c>
      <c r="L64" s="23">
        <f>'[7]1.RSP Districts '!L64</f>
        <v>14040</v>
      </c>
      <c r="M64" s="88">
        <f t="shared" si="11"/>
        <v>4.6433628978162034</v>
      </c>
      <c r="N64" s="88">
        <f t="shared" si="12"/>
        <v>30.70127484638429</v>
      </c>
      <c r="O64" s="23">
        <v>464</v>
      </c>
      <c r="P64" s="23">
        <f>'[7]1.RSP Districts '!P64</f>
        <v>496</v>
      </c>
      <c r="Q64" s="88">
        <f>(P64-O64)/O64%</f>
        <v>6.8965517241379315</v>
      </c>
      <c r="R64" s="314" t="s">
        <v>9</v>
      </c>
      <c r="S64" s="23" t="str">
        <f>'[7]1.RSP Districts '!S64</f>
        <v>Yes</v>
      </c>
      <c r="T64" s="23">
        <f>'[7]1.RSP Districts '!T64</f>
        <v>2</v>
      </c>
      <c r="U64" s="1">
        <v>1</v>
      </c>
      <c r="V64" s="201">
        <f>I64-'[8]1.RSP Districts '!I64</f>
        <v>43</v>
      </c>
      <c r="W64" s="201">
        <f>P64-'[9]1.RSP Districts '!$P$43</f>
        <v>496</v>
      </c>
    </row>
    <row r="65" spans="1:25" ht="14.25">
      <c r="A65" s="21">
        <v>17</v>
      </c>
      <c r="B65" s="22" t="s">
        <v>67</v>
      </c>
      <c r="C65" s="23">
        <v>59</v>
      </c>
      <c r="D65" s="23">
        <v>55</v>
      </c>
      <c r="E65" s="23">
        <f>'[7]1.RSP Districts '!E65</f>
        <v>55</v>
      </c>
      <c r="F65" s="88">
        <f t="shared" si="9"/>
        <v>0</v>
      </c>
      <c r="G65" s="88">
        <f t="shared" si="10"/>
        <v>93.220338983050851</v>
      </c>
      <c r="H65" s="23">
        <v>43</v>
      </c>
      <c r="I65" s="23">
        <f>'[7]1.RSP Districts '!I65</f>
        <v>43</v>
      </c>
      <c r="J65" s="23">
        <v>167833</v>
      </c>
      <c r="K65" s="23">
        <v>110566</v>
      </c>
      <c r="L65" s="23">
        <f>'[7]1.RSP Districts '!L65</f>
        <v>110566</v>
      </c>
      <c r="M65" s="88">
        <f t="shared" si="11"/>
        <v>0</v>
      </c>
      <c r="N65" s="88">
        <f t="shared" si="12"/>
        <v>65.878581685365816</v>
      </c>
      <c r="O65" s="23">
        <v>3865</v>
      </c>
      <c r="P65" s="23">
        <f>'[7]1.RSP Districts '!P65</f>
        <v>3865</v>
      </c>
      <c r="Q65" s="88">
        <f>(P65-O65)/O65%</f>
        <v>0</v>
      </c>
      <c r="R65" s="314" t="s">
        <v>9</v>
      </c>
      <c r="S65" s="23" t="str">
        <f>'[7]1.RSP Districts '!S65</f>
        <v>Yes</v>
      </c>
      <c r="T65" s="23">
        <f>'[7]1.RSP Districts '!T65</f>
        <v>2</v>
      </c>
      <c r="U65" s="1">
        <v>1</v>
      </c>
      <c r="V65" s="201">
        <f>I65-'[8]1.RSP Districts '!I65</f>
        <v>43</v>
      </c>
      <c r="W65" s="201">
        <f>P65-'[9]1.RSP Districts '!$P$43</f>
        <v>3865</v>
      </c>
    </row>
    <row r="66" spans="1:25" ht="14.25">
      <c r="A66" s="21">
        <v>18</v>
      </c>
      <c r="B66" s="22" t="s">
        <v>68</v>
      </c>
      <c r="C66" s="23">
        <v>75</v>
      </c>
      <c r="D66" s="34">
        <v>63</v>
      </c>
      <c r="E66" s="34">
        <f>'[3]1.RSP Districts '!E66</f>
        <v>63</v>
      </c>
      <c r="F66" s="88">
        <f t="shared" si="9"/>
        <v>0</v>
      </c>
      <c r="G66" s="88">
        <f t="shared" si="10"/>
        <v>84</v>
      </c>
      <c r="H66" s="34">
        <v>187</v>
      </c>
      <c r="I66" s="34">
        <f>'[3]1.RSP Districts '!I66</f>
        <v>187</v>
      </c>
      <c r="J66" s="23">
        <v>141386</v>
      </c>
      <c r="K66" s="23">
        <v>53799</v>
      </c>
      <c r="L66" s="34">
        <f>'[3]1.RSP Districts '!L66</f>
        <v>53799</v>
      </c>
      <c r="M66" s="88">
        <f t="shared" si="11"/>
        <v>0</v>
      </c>
      <c r="N66" s="88">
        <f t="shared" si="12"/>
        <v>38.051150750427908</v>
      </c>
      <c r="O66" s="23">
        <v>3781</v>
      </c>
      <c r="P66" s="34">
        <f>'[3]1.RSP Districts '!P66</f>
        <v>3794</v>
      </c>
      <c r="Q66" s="88">
        <f t="shared" si="13"/>
        <v>0.34382438508331126</v>
      </c>
      <c r="R66" s="314" t="s">
        <v>5</v>
      </c>
      <c r="S66" s="34" t="str">
        <f>'[3]1.RSP Districts '!S66</f>
        <v>Yes</v>
      </c>
      <c r="T66" s="34">
        <f>'[3]1.RSP Districts '!T66</f>
        <v>1</v>
      </c>
      <c r="U66" s="1">
        <v>1</v>
      </c>
      <c r="Y66" s="201" t="e">
        <f>I66-'[4]1.RSP Districts '!I66</f>
        <v>#REF!</v>
      </c>
    </row>
    <row r="67" spans="1:25" ht="14.25">
      <c r="A67" s="21">
        <v>18</v>
      </c>
      <c r="B67" s="22" t="s">
        <v>277</v>
      </c>
      <c r="C67" s="23">
        <v>75</v>
      </c>
      <c r="D67" s="23">
        <v>20</v>
      </c>
      <c r="E67" s="23">
        <f>'[7]1.RSP Districts '!E67</f>
        <v>20</v>
      </c>
      <c r="F67" s="88">
        <f t="shared" si="9"/>
        <v>0</v>
      </c>
      <c r="G67" s="88">
        <f t="shared" si="10"/>
        <v>26.666666666666668</v>
      </c>
      <c r="H67" s="23">
        <v>63</v>
      </c>
      <c r="I67" s="23">
        <f>'[7]1.RSP Districts '!I67</f>
        <v>63</v>
      </c>
      <c r="J67" s="23">
        <v>141386</v>
      </c>
      <c r="K67" s="23">
        <v>42732</v>
      </c>
      <c r="L67" s="23">
        <f>'[7]1.RSP Districts '!L67</f>
        <v>42732</v>
      </c>
      <c r="M67" s="88">
        <f t="shared" si="11"/>
        <v>0</v>
      </c>
      <c r="N67" s="88">
        <f t="shared" si="12"/>
        <v>30.223643076400776</v>
      </c>
      <c r="O67" s="23">
        <v>1838</v>
      </c>
      <c r="P67" s="23">
        <f>'[7]1.RSP Districts '!P67</f>
        <v>1838</v>
      </c>
      <c r="Q67" s="88">
        <f>(P67-O67)/O67%</f>
        <v>0</v>
      </c>
      <c r="R67" s="314" t="s">
        <v>9</v>
      </c>
      <c r="S67" s="23" t="str">
        <f>'[7]1.RSP Districts '!S67</f>
        <v>Yes</v>
      </c>
      <c r="T67" s="23">
        <f>'[7]1.RSP Districts '!T67</f>
        <v>1</v>
      </c>
      <c r="U67" s="1">
        <v>1</v>
      </c>
      <c r="V67" s="201">
        <f>I67-'[8]1.RSP Districts '!I67</f>
        <v>63</v>
      </c>
      <c r="W67" s="201">
        <f>P67-'[9]1.RSP Districts '!$P$43</f>
        <v>1838</v>
      </c>
    </row>
    <row r="68" spans="1:25" ht="14.25">
      <c r="A68" s="21">
        <v>19</v>
      </c>
      <c r="B68" s="22" t="s">
        <v>69</v>
      </c>
      <c r="C68" s="23">
        <v>48</v>
      </c>
      <c r="D68" s="23">
        <v>10</v>
      </c>
      <c r="E68" s="23">
        <f>'[7]1.RSP Districts '!E68</f>
        <v>10</v>
      </c>
      <c r="F68" s="88">
        <f t="shared" si="9"/>
        <v>0</v>
      </c>
      <c r="G68" s="88">
        <f t="shared" si="10"/>
        <v>20.833333333333336</v>
      </c>
      <c r="H68" s="23">
        <v>33</v>
      </c>
      <c r="I68" s="23">
        <f>'[7]1.RSP Districts '!I68</f>
        <v>33</v>
      </c>
      <c r="J68" s="23">
        <v>84851</v>
      </c>
      <c r="K68" s="23">
        <v>19570</v>
      </c>
      <c r="L68" s="23">
        <f>'[7]1.RSP Districts '!L68</f>
        <v>19570</v>
      </c>
      <c r="M68" s="88">
        <f t="shared" si="11"/>
        <v>0</v>
      </c>
      <c r="N68" s="88">
        <f t="shared" si="12"/>
        <v>23.063959175495871</v>
      </c>
      <c r="O68" s="23">
        <v>846</v>
      </c>
      <c r="P68" s="23">
        <f>'[7]1.RSP Districts '!P68</f>
        <v>846</v>
      </c>
      <c r="Q68" s="88">
        <f>(P68-O68)/O68%</f>
        <v>0</v>
      </c>
      <c r="R68" s="314" t="s">
        <v>9</v>
      </c>
      <c r="S68" s="23" t="str">
        <f>'[7]1.RSP Districts '!S68</f>
        <v>Yes</v>
      </c>
      <c r="T68" s="23">
        <f>'[7]1.RSP Districts '!T68</f>
        <v>1</v>
      </c>
      <c r="U68" s="1">
        <v>1</v>
      </c>
      <c r="V68" s="201">
        <f>I68-'[8]1.RSP Districts '!I68</f>
        <v>33</v>
      </c>
      <c r="W68" s="201">
        <f>P68-'[9]1.RSP Districts '!$P$43</f>
        <v>846</v>
      </c>
    </row>
    <row r="69" spans="1:25" ht="14.25">
      <c r="A69" s="21">
        <v>19</v>
      </c>
      <c r="B69" s="22" t="s">
        <v>235</v>
      </c>
      <c r="C69" s="23">
        <v>48</v>
      </c>
      <c r="D69" s="34">
        <v>13</v>
      </c>
      <c r="E69" s="34">
        <f>'[3]1.RSP Districts '!E69</f>
        <v>13</v>
      </c>
      <c r="F69" s="88">
        <f t="shared" si="9"/>
        <v>0</v>
      </c>
      <c r="G69" s="88">
        <f t="shared" si="10"/>
        <v>27.083333333333336</v>
      </c>
      <c r="H69" s="34">
        <v>176</v>
      </c>
      <c r="I69" s="34">
        <f>'[3]1.RSP Districts '!I69</f>
        <v>176</v>
      </c>
      <c r="J69" s="23">
        <v>84851</v>
      </c>
      <c r="K69" s="23">
        <v>4059</v>
      </c>
      <c r="L69" s="34">
        <f>'[3]1.RSP Districts '!L69</f>
        <v>4107</v>
      </c>
      <c r="M69" s="88">
        <f t="shared" si="11"/>
        <v>1.1825572801182556</v>
      </c>
      <c r="N69" s="88">
        <f t="shared" si="12"/>
        <v>4.8402493783219995</v>
      </c>
      <c r="O69" s="23">
        <v>204</v>
      </c>
      <c r="P69" s="34">
        <f>'[3]1.RSP Districts '!P69</f>
        <v>208</v>
      </c>
      <c r="Q69" s="88">
        <f t="shared" si="13"/>
        <v>1.9607843137254901</v>
      </c>
      <c r="R69" s="314" t="s">
        <v>5</v>
      </c>
      <c r="S69" s="34" t="str">
        <f>'[3]1.RSP Districts '!S69</f>
        <v>Yes</v>
      </c>
      <c r="T69" s="34">
        <f>'[3]1.RSP Districts '!T69</f>
        <v>1</v>
      </c>
      <c r="U69" s="1">
        <v>1</v>
      </c>
      <c r="Y69" s="201" t="e">
        <f>I69-'[4]1.RSP Districts '!I69</f>
        <v>#REF!</v>
      </c>
    </row>
    <row r="70" spans="1:25" ht="14.25">
      <c r="A70" s="21">
        <v>20</v>
      </c>
      <c r="B70" s="22" t="s">
        <v>70</v>
      </c>
      <c r="C70" s="23">
        <v>67</v>
      </c>
      <c r="D70" s="23">
        <v>17</v>
      </c>
      <c r="E70" s="23">
        <f>'[7]1.RSP Districts '!E70</f>
        <v>17</v>
      </c>
      <c r="F70" s="88">
        <f t="shared" si="9"/>
        <v>0</v>
      </c>
      <c r="G70" s="88">
        <f t="shared" si="10"/>
        <v>25.373134328358208</v>
      </c>
      <c r="H70" s="23">
        <v>55</v>
      </c>
      <c r="I70" s="23">
        <f>'[7]1.RSP Districts '!I70</f>
        <v>55</v>
      </c>
      <c r="J70" s="23">
        <v>132070</v>
      </c>
      <c r="K70" s="23">
        <v>17418</v>
      </c>
      <c r="L70" s="23">
        <f>'[7]1.RSP Districts '!L70</f>
        <v>17418</v>
      </c>
      <c r="M70" s="88">
        <f t="shared" si="11"/>
        <v>0</v>
      </c>
      <c r="N70" s="88">
        <f t="shared" si="12"/>
        <v>13.188460664798971</v>
      </c>
      <c r="O70" s="23">
        <v>852</v>
      </c>
      <c r="P70" s="23">
        <f>'[7]1.RSP Districts '!P70</f>
        <v>852</v>
      </c>
      <c r="Q70" s="88">
        <f>(P70-O70)/O70%</f>
        <v>0</v>
      </c>
      <c r="R70" s="314" t="s">
        <v>9</v>
      </c>
      <c r="S70" s="23" t="str">
        <f>'[7]1.RSP Districts '!S70</f>
        <v>Yes</v>
      </c>
      <c r="T70" s="23">
        <f>'[7]1.RSP Districts '!T70</f>
        <v>11</v>
      </c>
      <c r="U70" s="1">
        <v>1</v>
      </c>
      <c r="V70" s="201">
        <f>I70-'[8]1.RSP Districts '!I70</f>
        <v>55</v>
      </c>
      <c r="W70" s="201">
        <f>P70-'[9]1.RSP Districts '!$P$43</f>
        <v>852</v>
      </c>
    </row>
    <row r="71" spans="1:25" ht="14.25">
      <c r="A71" s="21">
        <v>21</v>
      </c>
      <c r="B71" s="22" t="s">
        <v>71</v>
      </c>
      <c r="C71" s="23">
        <v>28</v>
      </c>
      <c r="D71" s="23">
        <v>28</v>
      </c>
      <c r="E71" s="23">
        <f>'[7]1.RSP Districts '!E71</f>
        <v>28</v>
      </c>
      <c r="F71" s="88">
        <f t="shared" si="9"/>
        <v>0</v>
      </c>
      <c r="G71" s="88">
        <f t="shared" si="10"/>
        <v>99.999999999999986</v>
      </c>
      <c r="H71" s="23">
        <v>115</v>
      </c>
      <c r="I71" s="23">
        <f>'[7]1.RSP Districts '!I71</f>
        <v>115</v>
      </c>
      <c r="J71" s="23">
        <v>53994</v>
      </c>
      <c r="K71" s="23">
        <v>38708</v>
      </c>
      <c r="L71" s="23">
        <f>'[7]1.RSP Districts '!L71</f>
        <v>40361</v>
      </c>
      <c r="M71" s="88">
        <f t="shared" si="11"/>
        <v>4.2704350521855945</v>
      </c>
      <c r="N71" s="88">
        <f t="shared" si="12"/>
        <v>74.750898247953472</v>
      </c>
      <c r="O71" s="23">
        <v>2159</v>
      </c>
      <c r="P71" s="23">
        <f>'[7]1.RSP Districts '!P71</f>
        <v>2241</v>
      </c>
      <c r="Q71" s="88">
        <f>(P71-O71)/O71%</f>
        <v>3.7980546549328391</v>
      </c>
      <c r="R71" s="314" t="s">
        <v>9</v>
      </c>
      <c r="S71" s="23" t="str">
        <f>'[7]1.RSP Districts '!S71</f>
        <v>Yes</v>
      </c>
      <c r="T71" s="23">
        <f>'[7]1.RSP Districts '!T71</f>
        <v>3</v>
      </c>
      <c r="U71" s="1">
        <v>1</v>
      </c>
      <c r="V71" s="201">
        <f>I71-'[8]1.RSP Districts '!I71</f>
        <v>115</v>
      </c>
      <c r="W71" s="201">
        <f>P71-'[9]1.RSP Districts '!$P$43</f>
        <v>2241</v>
      </c>
    </row>
    <row r="72" spans="1:25" ht="14.25">
      <c r="A72" s="21">
        <v>22</v>
      </c>
      <c r="B72" s="22" t="s">
        <v>72</v>
      </c>
      <c r="C72" s="23">
        <v>55</v>
      </c>
      <c r="D72" s="23">
        <v>6</v>
      </c>
      <c r="E72" s="23">
        <f>'[2]1.RSP Districts '!E72</f>
        <v>6</v>
      </c>
      <c r="F72" s="88">
        <f t="shared" si="9"/>
        <v>0</v>
      </c>
      <c r="G72" s="88">
        <f t="shared" si="10"/>
        <v>10.909090909090908</v>
      </c>
      <c r="H72" s="23">
        <v>23</v>
      </c>
      <c r="I72" s="23">
        <f>'[2]1.RSP Districts '!I72</f>
        <v>23</v>
      </c>
      <c r="J72" s="23">
        <v>112083</v>
      </c>
      <c r="K72" s="23">
        <v>8792</v>
      </c>
      <c r="L72" s="23">
        <f>'[2]1.RSP Districts '!L72</f>
        <v>8942</v>
      </c>
      <c r="M72" s="88">
        <f t="shared" si="11"/>
        <v>1.7060964513193813</v>
      </c>
      <c r="N72" s="88">
        <f t="shared" si="12"/>
        <v>7.9780162914982649</v>
      </c>
      <c r="O72" s="23">
        <v>774</v>
      </c>
      <c r="P72" s="23">
        <f>'[2]1.RSP Districts '!P72</f>
        <v>788</v>
      </c>
      <c r="Q72" s="88">
        <f t="shared" si="13"/>
        <v>1.8087855297157622</v>
      </c>
      <c r="R72" s="314" t="s">
        <v>4</v>
      </c>
      <c r="S72" s="23" t="str">
        <f>'[2]1.RSP Districts '!S72</f>
        <v>No</v>
      </c>
      <c r="T72" s="23">
        <f>'[2]1.RSP Districts '!T72</f>
        <v>1</v>
      </c>
      <c r="U72" s="1">
        <v>1</v>
      </c>
    </row>
    <row r="73" spans="1:25" ht="14.25">
      <c r="A73" s="21">
        <v>22</v>
      </c>
      <c r="B73" s="22" t="s">
        <v>73</v>
      </c>
      <c r="C73" s="23">
        <v>55</v>
      </c>
      <c r="D73" s="34">
        <v>38</v>
      </c>
      <c r="E73" s="34">
        <f>'[3]1.RSP Districts '!E73</f>
        <v>38</v>
      </c>
      <c r="F73" s="88">
        <f t="shared" si="9"/>
        <v>0</v>
      </c>
      <c r="G73" s="88">
        <f t="shared" si="10"/>
        <v>69.090909090909079</v>
      </c>
      <c r="H73" s="34">
        <v>179</v>
      </c>
      <c r="I73" s="34">
        <f>'[3]1.RSP Districts '!I73</f>
        <v>179</v>
      </c>
      <c r="J73" s="23">
        <v>112083</v>
      </c>
      <c r="K73" s="23">
        <v>28215</v>
      </c>
      <c r="L73" s="34">
        <f>'[3]1.RSP Districts '!L73</f>
        <v>29670</v>
      </c>
      <c r="M73" s="88">
        <f t="shared" si="11"/>
        <v>5.1568314726209463</v>
      </c>
      <c r="N73" s="88">
        <f t="shared" si="12"/>
        <v>26.471454190198337</v>
      </c>
      <c r="O73" s="23">
        <v>1788</v>
      </c>
      <c r="P73" s="34">
        <f>'[3]1.RSP Districts '!P73</f>
        <v>1924</v>
      </c>
      <c r="Q73" s="88">
        <f t="shared" si="13"/>
        <v>7.6062639821029085</v>
      </c>
      <c r="R73" s="314" t="s">
        <v>5</v>
      </c>
      <c r="S73" s="34" t="str">
        <f>'[3]1.RSP Districts '!S73</f>
        <v>Yes</v>
      </c>
      <c r="T73" s="34">
        <f>'[3]1.RSP Districts '!T73</f>
        <v>2</v>
      </c>
      <c r="U73" s="1">
        <v>1</v>
      </c>
      <c r="Y73" s="201" t="e">
        <f>I73-'[4]1.RSP Districts '!I73</f>
        <v>#REF!</v>
      </c>
    </row>
    <row r="74" spans="1:25" ht="14.25">
      <c r="A74" s="21">
        <v>23</v>
      </c>
      <c r="B74" s="22" t="s">
        <v>74</v>
      </c>
      <c r="C74" s="23">
        <v>65</v>
      </c>
      <c r="D74" s="34">
        <v>19</v>
      </c>
      <c r="E74" s="34">
        <f>'[3]1.RSP Districts '!E74</f>
        <v>19</v>
      </c>
      <c r="F74" s="88">
        <f t="shared" si="9"/>
        <v>0</v>
      </c>
      <c r="G74" s="88">
        <f t="shared" si="10"/>
        <v>29.23076923076923</v>
      </c>
      <c r="H74" s="34">
        <v>224</v>
      </c>
      <c r="I74" s="34">
        <f>'[3]1.RSP Districts '!I74</f>
        <v>224</v>
      </c>
      <c r="J74" s="23">
        <v>125377</v>
      </c>
      <c r="K74" s="23">
        <v>7507</v>
      </c>
      <c r="L74" s="34">
        <f>'[3]1.RSP Districts '!L74</f>
        <v>8071</v>
      </c>
      <c r="M74" s="88">
        <f t="shared" si="11"/>
        <v>7.5129878779805521</v>
      </c>
      <c r="N74" s="88">
        <f t="shared" si="12"/>
        <v>6.4373848473005415</v>
      </c>
      <c r="O74" s="23">
        <v>356</v>
      </c>
      <c r="P74" s="34">
        <f>'[3]1.RSP Districts '!P74</f>
        <v>403</v>
      </c>
      <c r="Q74" s="88">
        <f t="shared" si="13"/>
        <v>13.202247191011235</v>
      </c>
      <c r="R74" s="314" t="s">
        <v>5</v>
      </c>
      <c r="S74" s="34" t="str">
        <f>'[3]1.RSP Districts '!S74</f>
        <v>No</v>
      </c>
      <c r="T74" s="34">
        <f>'[3]1.RSP Districts '!T74</f>
        <v>1</v>
      </c>
      <c r="U74" s="1">
        <v>1</v>
      </c>
      <c r="Y74" s="201" t="e">
        <f>I74-'[4]1.RSP Districts '!I74</f>
        <v>#REF!</v>
      </c>
    </row>
    <row r="75" spans="1:25" ht="14.25">
      <c r="A75" s="21">
        <v>23</v>
      </c>
      <c r="B75" s="22" t="s">
        <v>75</v>
      </c>
      <c r="C75" s="23">
        <v>65</v>
      </c>
      <c r="D75" s="23">
        <v>67</v>
      </c>
      <c r="E75" s="23">
        <f>'[7]1.RSP Districts '!E75+2</f>
        <v>67</v>
      </c>
      <c r="F75" s="88">
        <f t="shared" si="9"/>
        <v>0</v>
      </c>
      <c r="G75" s="88">
        <f t="shared" si="10"/>
        <v>103.07692307692308</v>
      </c>
      <c r="H75" s="23">
        <v>136</v>
      </c>
      <c r="I75" s="23">
        <f>'[7]1.RSP Districts '!I75</f>
        <v>136</v>
      </c>
      <c r="J75" s="23">
        <v>125377</v>
      </c>
      <c r="K75" s="23">
        <v>34880</v>
      </c>
      <c r="L75" s="23">
        <f>'[7]1.RSP Districts '!L75</f>
        <v>37235</v>
      </c>
      <c r="M75" s="88">
        <f t="shared" si="11"/>
        <v>6.7517201834862384</v>
      </c>
      <c r="N75" s="88">
        <f t="shared" si="12"/>
        <v>29.698429536517864</v>
      </c>
      <c r="O75" s="23">
        <v>1966</v>
      </c>
      <c r="P75" s="23">
        <f>'[7]1.RSP Districts '!P75</f>
        <v>2088</v>
      </c>
      <c r="Q75" s="88">
        <f>(P75-O75)/O75%</f>
        <v>6.205493387589013</v>
      </c>
      <c r="R75" s="314" t="s">
        <v>9</v>
      </c>
      <c r="S75" s="23" t="str">
        <f>'[7]1.RSP Districts '!S75</f>
        <v>Yes</v>
      </c>
      <c r="T75" s="23">
        <f>'[7]1.RSP Districts '!T75</f>
        <v>8</v>
      </c>
      <c r="U75" s="1">
        <v>1</v>
      </c>
      <c r="V75" s="201">
        <f>I75-'[8]1.RSP Districts '!I75</f>
        <v>136</v>
      </c>
      <c r="W75" s="201">
        <f>P75-'[9]1.RSP Districts '!$P$43</f>
        <v>2088</v>
      </c>
    </row>
    <row r="76" spans="1:25" thickBot="1">
      <c r="A76" s="32">
        <v>24</v>
      </c>
      <c r="B76" s="33" t="s">
        <v>196</v>
      </c>
      <c r="C76" s="34">
        <v>16</v>
      </c>
      <c r="D76" s="23"/>
      <c r="E76" s="34"/>
      <c r="F76" s="119">
        <v>0</v>
      </c>
      <c r="G76" s="119">
        <f t="shared" si="10"/>
        <v>0</v>
      </c>
      <c r="H76" s="119">
        <v>0</v>
      </c>
      <c r="I76" s="119"/>
      <c r="J76" s="144">
        <v>22411</v>
      </c>
      <c r="K76" s="23"/>
      <c r="L76" s="34"/>
      <c r="M76" s="119">
        <v>0</v>
      </c>
      <c r="N76" s="119">
        <v>0</v>
      </c>
      <c r="O76" s="23"/>
      <c r="P76" s="36"/>
      <c r="Q76" s="119">
        <v>0</v>
      </c>
      <c r="R76" s="36">
        <v>0</v>
      </c>
      <c r="S76" s="23"/>
      <c r="T76" s="23"/>
      <c r="U76" s="1">
        <v>1</v>
      </c>
    </row>
    <row r="77" spans="1:25" s="4" customFormat="1" ht="15.75" thickBot="1">
      <c r="A77" s="131">
        <f>COUNTIF(R43:R76,"*")-10</f>
        <v>21</v>
      </c>
      <c r="B77" s="130" t="s">
        <v>76</v>
      </c>
      <c r="C77" s="49">
        <f>SUM(C43:C76)-(C47+C48+C51+C56+C67+C72+C75+C68+C64+C57)</f>
        <v>964</v>
      </c>
      <c r="D77" s="49">
        <f>SUM(D43:D76)-(D47+D48+D51+D56+D67+D72+D75+D68+D64+D57)</f>
        <v>559</v>
      </c>
      <c r="E77" s="49">
        <f>SUM(E43:E76)-(E47+E48+E51+E56+E67+E72+E75+E68+E64+E57)</f>
        <v>559</v>
      </c>
      <c r="F77" s="132">
        <f t="shared" si="9"/>
        <v>0</v>
      </c>
      <c r="G77" s="132">
        <f t="shared" si="10"/>
        <v>57.987551867219914</v>
      </c>
      <c r="H77" s="49">
        <f>SUM(H43:H76)</f>
        <v>4716</v>
      </c>
      <c r="I77" s="49">
        <f>SUM(I43:I76)</f>
        <v>4716</v>
      </c>
      <c r="J77" s="49">
        <f>SUM(J43:J76)-(J47+J48+J51+J56+J67+J72+J75+J68+J64+J57)</f>
        <v>1889904</v>
      </c>
      <c r="K77" s="49">
        <f>SUM(K43:K76)</f>
        <v>963333</v>
      </c>
      <c r="L77" s="49">
        <f>SUM(L43:L76)</f>
        <v>975670</v>
      </c>
      <c r="M77" s="132">
        <f t="shared" si="11"/>
        <v>1.2806578825805821</v>
      </c>
      <c r="N77" s="132">
        <f t="shared" si="12"/>
        <v>51.625373563948216</v>
      </c>
      <c r="O77" s="49">
        <f>SUM(O43:O76)</f>
        <v>44254</v>
      </c>
      <c r="P77" s="49">
        <f>SUM(P43:P76)</f>
        <v>44972</v>
      </c>
      <c r="Q77" s="132">
        <f t="shared" si="13"/>
        <v>1.6224522077100374</v>
      </c>
      <c r="R77" s="313"/>
      <c r="S77" s="327"/>
      <c r="T77" s="327"/>
      <c r="U77" s="1">
        <v>1</v>
      </c>
    </row>
    <row r="78" spans="1:25" ht="8.25" customHeight="1" thickBot="1">
      <c r="A78" s="12"/>
      <c r="B78" s="13"/>
      <c r="C78" s="51"/>
      <c r="D78" s="25"/>
      <c r="E78" s="25"/>
      <c r="F78" s="89"/>
      <c r="G78" s="89"/>
      <c r="H78" s="89"/>
      <c r="I78" s="89"/>
      <c r="J78" s="51"/>
      <c r="K78" s="25"/>
      <c r="L78" s="25"/>
      <c r="M78" s="25"/>
      <c r="N78" s="25"/>
      <c r="O78" s="25"/>
      <c r="P78" s="25"/>
      <c r="Q78" s="25"/>
      <c r="R78" s="14"/>
      <c r="S78" s="325"/>
      <c r="T78" s="325"/>
      <c r="U78" s="1">
        <v>1</v>
      </c>
    </row>
    <row r="79" spans="1:25" s="5" customFormat="1" ht="14.25">
      <c r="A79" s="17" t="s">
        <v>77</v>
      </c>
      <c r="B79" s="18"/>
      <c r="C79" s="19"/>
      <c r="D79" s="26"/>
      <c r="E79" s="26"/>
      <c r="F79" s="90"/>
      <c r="G79" s="90"/>
      <c r="H79" s="90"/>
      <c r="I79" s="90"/>
      <c r="J79" s="19"/>
      <c r="K79" s="26"/>
      <c r="L79" s="26"/>
      <c r="M79" s="26"/>
      <c r="N79" s="26"/>
      <c r="O79" s="26"/>
      <c r="P79" s="26"/>
      <c r="Q79" s="26"/>
      <c r="R79" s="19"/>
      <c r="S79" s="326"/>
      <c r="T79" s="326"/>
      <c r="U79" s="1">
        <v>1</v>
      </c>
    </row>
    <row r="80" spans="1:25" ht="14.25">
      <c r="A80" s="21">
        <v>1</v>
      </c>
      <c r="B80" s="22" t="s">
        <v>78</v>
      </c>
      <c r="C80" s="23">
        <v>46</v>
      </c>
      <c r="D80" s="34">
        <v>46</v>
      </c>
      <c r="E80" s="34">
        <f>'[3]1.RSP Districts '!E80</f>
        <v>46</v>
      </c>
      <c r="F80" s="88">
        <f t="shared" ref="F80:F104" si="14">(E80-D80)/D80%</f>
        <v>0</v>
      </c>
      <c r="G80" s="88">
        <f t="shared" ref="G80:G104" si="15">E80/C80%</f>
        <v>100</v>
      </c>
      <c r="H80" s="34">
        <v>349</v>
      </c>
      <c r="I80" s="34">
        <f>'[3]1.RSP Districts '!I80</f>
        <v>349</v>
      </c>
      <c r="J80" s="27">
        <v>185266</v>
      </c>
      <c r="K80" s="34">
        <v>114155</v>
      </c>
      <c r="L80" s="34">
        <f>'[3]1.RSP Districts '!L80</f>
        <v>114797</v>
      </c>
      <c r="M80" s="88">
        <f t="shared" ref="M80:M104" si="16">(L80-K80)/K80%</f>
        <v>0.56239323726512203</v>
      </c>
      <c r="N80" s="88">
        <f t="shared" ref="N80:N104" si="17">L80/J80%</f>
        <v>61.963339198773653</v>
      </c>
      <c r="O80" s="34">
        <v>6404</v>
      </c>
      <c r="P80" s="34">
        <f>'[3]1.RSP Districts '!P80</f>
        <v>6450</v>
      </c>
      <c r="Q80" s="88">
        <f t="shared" ref="Q80:Q104" si="18">(P80-O80)/O80%</f>
        <v>0.71830106183635223</v>
      </c>
      <c r="R80" s="316" t="s">
        <v>5</v>
      </c>
      <c r="S80" s="34" t="str">
        <f>'[3]1.RSP Districts '!S80</f>
        <v>Yes</v>
      </c>
      <c r="T80" s="34">
        <f>'[3]1.RSP Districts '!T80</f>
        <v>3</v>
      </c>
      <c r="U80" s="1">
        <v>1</v>
      </c>
      <c r="Y80" s="201" t="e">
        <f>I80-'[4]1.RSP Districts '!I80</f>
        <v>#REF!</v>
      </c>
    </row>
    <row r="81" spans="1:25" ht="14.25">
      <c r="A81" s="21">
        <v>2</v>
      </c>
      <c r="B81" s="22" t="s">
        <v>79</v>
      </c>
      <c r="C81" s="23">
        <v>52</v>
      </c>
      <c r="D81" s="23">
        <v>30</v>
      </c>
      <c r="E81" s="23">
        <f>'[11]1.RSP Districts '!E81</f>
        <v>30</v>
      </c>
      <c r="F81" s="88">
        <f t="shared" si="14"/>
        <v>0</v>
      </c>
      <c r="G81" s="88">
        <f t="shared" si="15"/>
        <v>57.692307692307693</v>
      </c>
      <c r="H81" s="23">
        <v>131</v>
      </c>
      <c r="I81" s="23">
        <f>'[11]1.RSP Districts '!I81</f>
        <v>131</v>
      </c>
      <c r="J81" s="23">
        <v>164849</v>
      </c>
      <c r="K81" s="34">
        <v>38041</v>
      </c>
      <c r="L81" s="23">
        <f>'[11]1.RSP Districts '!L81</f>
        <v>39081</v>
      </c>
      <c r="M81" s="88">
        <f t="shared" si="16"/>
        <v>2.7338923792749927</v>
      </c>
      <c r="N81" s="88">
        <f t="shared" si="17"/>
        <v>23.707150179861571</v>
      </c>
      <c r="O81" s="34">
        <v>1608</v>
      </c>
      <c r="P81" s="23">
        <f>'[11]1.RSP Districts '!P81</f>
        <v>1660</v>
      </c>
      <c r="Q81" s="88">
        <f t="shared" si="18"/>
        <v>3.2338308457711444</v>
      </c>
      <c r="R81" s="317" t="s">
        <v>10</v>
      </c>
      <c r="S81" s="23" t="str">
        <f>'[11]1.RSP Districts '!S81</f>
        <v>Yes</v>
      </c>
      <c r="T81" s="23">
        <f>'[11]1.RSP Districts '!T81</f>
        <v>1</v>
      </c>
      <c r="U81" s="1">
        <v>1</v>
      </c>
      <c r="W81" s="201">
        <f>C81-'[12]1.RSP Districts '!C81</f>
        <v>52</v>
      </c>
    </row>
    <row r="82" spans="1:25" ht="14.25">
      <c r="A82" s="21">
        <v>3</v>
      </c>
      <c r="B82" s="22" t="s">
        <v>80</v>
      </c>
      <c r="C82" s="29">
        <v>46</v>
      </c>
      <c r="D82" s="23">
        <v>37</v>
      </c>
      <c r="E82" s="23">
        <f>'[13]1.RSP Districts '!E82</f>
        <v>37</v>
      </c>
      <c r="F82" s="88">
        <f t="shared" si="14"/>
        <v>0</v>
      </c>
      <c r="G82" s="88">
        <f t="shared" si="15"/>
        <v>80.434782608695642</v>
      </c>
      <c r="H82" s="23">
        <v>283</v>
      </c>
      <c r="I82" s="23">
        <f>'[13]1.RSP Districts '!I82</f>
        <v>283</v>
      </c>
      <c r="J82" s="23">
        <v>158489</v>
      </c>
      <c r="K82" s="34">
        <v>120767</v>
      </c>
      <c r="L82" s="23">
        <f>'[13]1.RSP Districts '!L82</f>
        <v>120767</v>
      </c>
      <c r="M82" s="88">
        <f t="shared" si="16"/>
        <v>0</v>
      </c>
      <c r="N82" s="88">
        <f t="shared" si="17"/>
        <v>76.198979108960245</v>
      </c>
      <c r="O82" s="34">
        <v>6961</v>
      </c>
      <c r="P82" s="23">
        <f>'[13]1.RSP Districts '!P82</f>
        <v>6961</v>
      </c>
      <c r="Q82" s="88">
        <f t="shared" si="18"/>
        <v>0</v>
      </c>
      <c r="R82" s="316" t="s">
        <v>8</v>
      </c>
      <c r="S82" s="23" t="str">
        <f>'[13]1.RSP Districts '!S82</f>
        <v>Yes</v>
      </c>
      <c r="T82" s="23">
        <f>'[13]1.RSP Districts '!T82</f>
        <v>8</v>
      </c>
      <c r="U82" s="1">
        <v>1</v>
      </c>
    </row>
    <row r="83" spans="1:25" ht="14.25">
      <c r="A83" s="21">
        <v>4</v>
      </c>
      <c r="B83" s="22" t="s">
        <v>81</v>
      </c>
      <c r="C83" s="23">
        <v>37</v>
      </c>
      <c r="D83" s="34">
        <v>20</v>
      </c>
      <c r="E83" s="34">
        <f>'[3]1.RSP Districts '!E83</f>
        <v>20</v>
      </c>
      <c r="F83" s="88">
        <f t="shared" si="14"/>
        <v>0</v>
      </c>
      <c r="G83" s="88">
        <f t="shared" si="15"/>
        <v>54.054054054054056</v>
      </c>
      <c r="H83" s="34">
        <v>121</v>
      </c>
      <c r="I83" s="34">
        <f>'[3]1.RSP Districts '!I83</f>
        <v>121</v>
      </c>
      <c r="J83" s="27">
        <v>128856</v>
      </c>
      <c r="K83" s="34">
        <v>11979</v>
      </c>
      <c r="L83" s="34">
        <f>'[3]1.RSP Districts '!L83</f>
        <v>11979</v>
      </c>
      <c r="M83" s="88">
        <f t="shared" si="16"/>
        <v>0</v>
      </c>
      <c r="N83" s="88">
        <f t="shared" si="17"/>
        <v>9.296423915067983</v>
      </c>
      <c r="O83" s="34">
        <v>725</v>
      </c>
      <c r="P83" s="34">
        <f>'[3]1.RSP Districts '!P83</f>
        <v>725</v>
      </c>
      <c r="Q83" s="88">
        <f t="shared" si="18"/>
        <v>0</v>
      </c>
      <c r="R83" s="316" t="s">
        <v>5</v>
      </c>
      <c r="S83" s="34" t="str">
        <f>'[3]1.RSP Districts '!S83</f>
        <v>Yes</v>
      </c>
      <c r="T83" s="34">
        <f>'[3]1.RSP Districts '!T83</f>
        <v>2</v>
      </c>
      <c r="U83" s="1">
        <v>1</v>
      </c>
      <c r="Y83" s="201" t="e">
        <f>I83-'[4]1.RSP Districts '!I83</f>
        <v>#REF!</v>
      </c>
    </row>
    <row r="84" spans="1:25" ht="14.25">
      <c r="A84" s="21">
        <v>5</v>
      </c>
      <c r="B84" s="22" t="s">
        <v>82</v>
      </c>
      <c r="C84" s="23">
        <v>40</v>
      </c>
      <c r="D84" s="23">
        <v>29</v>
      </c>
      <c r="E84" s="23">
        <f>'[13]1.RSP Districts '!E84</f>
        <v>29</v>
      </c>
      <c r="F84" s="88">
        <f t="shared" si="14"/>
        <v>0</v>
      </c>
      <c r="G84" s="88">
        <f t="shared" si="15"/>
        <v>72.5</v>
      </c>
      <c r="H84" s="23">
        <v>204</v>
      </c>
      <c r="I84" s="23">
        <f>'[13]1.RSP Districts '!I84</f>
        <v>204</v>
      </c>
      <c r="J84" s="23">
        <v>90682.077922077922</v>
      </c>
      <c r="K84" s="34">
        <v>84893</v>
      </c>
      <c r="L84" s="23">
        <f>'[13]1.RSP Districts '!L84</f>
        <v>84893</v>
      </c>
      <c r="M84" s="88">
        <f t="shared" si="16"/>
        <v>0</v>
      </c>
      <c r="N84" s="88">
        <f t="shared" si="17"/>
        <v>93.616072707274739</v>
      </c>
      <c r="O84" s="34">
        <v>5074</v>
      </c>
      <c r="P84" s="23">
        <f>'[13]1.RSP Districts '!P84</f>
        <v>5074</v>
      </c>
      <c r="Q84" s="88">
        <f t="shared" si="18"/>
        <v>0</v>
      </c>
      <c r="R84" s="316" t="s">
        <v>8</v>
      </c>
      <c r="S84" s="23" t="str">
        <f>'[13]1.RSP Districts '!S84</f>
        <v>Yes</v>
      </c>
      <c r="T84" s="23">
        <f>'[13]1.RSP Districts '!T84</f>
        <v>4</v>
      </c>
      <c r="U84" s="1">
        <v>1</v>
      </c>
    </row>
    <row r="85" spans="1:25" ht="14.25">
      <c r="A85" s="21">
        <v>6</v>
      </c>
      <c r="B85" s="22" t="s">
        <v>83</v>
      </c>
      <c r="C85" s="23">
        <v>28</v>
      </c>
      <c r="D85" s="23">
        <v>12</v>
      </c>
      <c r="E85" s="23">
        <f>'[11]1.RSP Districts '!E85</f>
        <v>12</v>
      </c>
      <c r="F85" s="88">
        <f t="shared" si="14"/>
        <v>0</v>
      </c>
      <c r="G85" s="88">
        <f t="shared" si="15"/>
        <v>42.857142857142854</v>
      </c>
      <c r="H85" s="23">
        <v>78</v>
      </c>
      <c r="I85" s="23">
        <f>'[11]1.RSP Districts '!I85</f>
        <v>78</v>
      </c>
      <c r="J85" s="23">
        <v>88816</v>
      </c>
      <c r="K85" s="34">
        <v>27525</v>
      </c>
      <c r="L85" s="23">
        <f>'[11]1.RSP Districts '!L85</f>
        <v>28530</v>
      </c>
      <c r="M85" s="88">
        <f t="shared" si="16"/>
        <v>3.6512261580381473</v>
      </c>
      <c r="N85" s="88">
        <f t="shared" si="17"/>
        <v>32.122590524229871</v>
      </c>
      <c r="O85" s="34">
        <v>598</v>
      </c>
      <c r="P85" s="23">
        <f>'[11]1.RSP Districts '!P85</f>
        <v>639</v>
      </c>
      <c r="Q85" s="88">
        <f t="shared" si="18"/>
        <v>6.8561872909698991</v>
      </c>
      <c r="R85" s="317" t="s">
        <v>10</v>
      </c>
      <c r="S85" s="23" t="str">
        <f>'[11]1.RSP Districts '!S85</f>
        <v>Yes</v>
      </c>
      <c r="T85" s="23">
        <f>'[11]1.RSP Districts '!T85</f>
        <v>1</v>
      </c>
      <c r="U85" s="1">
        <v>1</v>
      </c>
      <c r="W85" s="201">
        <f>C85-'[12]1.RSP Districts '!C85</f>
        <v>28</v>
      </c>
    </row>
    <row r="86" spans="1:25" ht="14.25">
      <c r="A86" s="21">
        <v>7</v>
      </c>
      <c r="B86" s="22" t="s">
        <v>198</v>
      </c>
      <c r="C86" s="23">
        <v>0</v>
      </c>
      <c r="D86" s="23"/>
      <c r="E86" s="23"/>
      <c r="F86" s="88">
        <v>0</v>
      </c>
      <c r="G86" s="88">
        <v>0</v>
      </c>
      <c r="H86" s="88"/>
      <c r="I86" s="88"/>
      <c r="J86" s="23">
        <v>0</v>
      </c>
      <c r="K86" s="34"/>
      <c r="L86" s="23"/>
      <c r="M86" s="88">
        <v>0</v>
      </c>
      <c r="N86" s="88">
        <v>0</v>
      </c>
      <c r="O86" s="34"/>
      <c r="P86" s="24"/>
      <c r="Q86" s="88">
        <v>0</v>
      </c>
      <c r="R86" s="24">
        <v>0</v>
      </c>
      <c r="S86" s="23"/>
      <c r="T86" s="23"/>
      <c r="U86" s="1">
        <v>1</v>
      </c>
    </row>
    <row r="87" spans="1:25" ht="14.25">
      <c r="A87" s="21">
        <v>8</v>
      </c>
      <c r="B87" s="22" t="s">
        <v>84</v>
      </c>
      <c r="C87" s="23">
        <v>37</v>
      </c>
      <c r="D87" s="23">
        <v>37</v>
      </c>
      <c r="E87" s="23">
        <f>'[13]1.RSP Districts '!E87</f>
        <v>37</v>
      </c>
      <c r="F87" s="88">
        <f t="shared" si="14"/>
        <v>0</v>
      </c>
      <c r="G87" s="88">
        <f t="shared" si="15"/>
        <v>100</v>
      </c>
      <c r="H87" s="23">
        <v>170</v>
      </c>
      <c r="I87" s="23">
        <f>'[13]1.RSP Districts '!I87</f>
        <v>170</v>
      </c>
      <c r="J87" s="23">
        <v>110969</v>
      </c>
      <c r="K87" s="34">
        <v>80345</v>
      </c>
      <c r="L87" s="23">
        <f>'[13]1.RSP Districts '!L87</f>
        <v>80345</v>
      </c>
      <c r="M87" s="88">
        <f t="shared" si="16"/>
        <v>0</v>
      </c>
      <c r="N87" s="88">
        <f t="shared" si="17"/>
        <v>72.403103569465344</v>
      </c>
      <c r="O87" s="34">
        <v>4710</v>
      </c>
      <c r="P87" s="23">
        <f>'[13]1.RSP Districts '!P87</f>
        <v>4710</v>
      </c>
      <c r="Q87" s="88">
        <f t="shared" si="18"/>
        <v>0</v>
      </c>
      <c r="R87" s="316" t="s">
        <v>8</v>
      </c>
      <c r="S87" s="23" t="str">
        <f>'[13]1.RSP Districts '!S87</f>
        <v>Yes</v>
      </c>
      <c r="T87" s="23">
        <f>'[13]1.RSP Districts '!T87</f>
        <v>3</v>
      </c>
      <c r="U87" s="1">
        <v>1</v>
      </c>
    </row>
    <row r="88" spans="1:25" ht="14.25">
      <c r="A88" s="21">
        <v>9</v>
      </c>
      <c r="B88" s="28" t="s">
        <v>85</v>
      </c>
      <c r="C88" s="23">
        <v>76</v>
      </c>
      <c r="D88" s="23">
        <v>49</v>
      </c>
      <c r="E88" s="23">
        <f>'[13]1.RSP Districts '!E88</f>
        <v>50</v>
      </c>
      <c r="F88" s="88">
        <f t="shared" si="14"/>
        <v>2.0408163265306123</v>
      </c>
      <c r="G88" s="88">
        <f t="shared" si="15"/>
        <v>65.78947368421052</v>
      </c>
      <c r="H88" s="23">
        <v>244</v>
      </c>
      <c r="I88" s="23">
        <f>'[13]1.RSP Districts '!I88</f>
        <v>246</v>
      </c>
      <c r="J88" s="23">
        <v>208270</v>
      </c>
      <c r="K88" s="34">
        <v>70400</v>
      </c>
      <c r="L88" s="23">
        <f>'[13]1.RSP Districts '!L88</f>
        <v>70400</v>
      </c>
      <c r="M88" s="88">
        <f t="shared" si="16"/>
        <v>0</v>
      </c>
      <c r="N88" s="88">
        <f t="shared" si="17"/>
        <v>33.802275891871133</v>
      </c>
      <c r="O88" s="34">
        <v>4110</v>
      </c>
      <c r="P88" s="23">
        <f>'[13]1.RSP Districts '!P88</f>
        <v>4110</v>
      </c>
      <c r="Q88" s="88">
        <f t="shared" si="18"/>
        <v>0</v>
      </c>
      <c r="R88" s="316" t="s">
        <v>8</v>
      </c>
      <c r="S88" s="23" t="str">
        <f>'[13]1.RSP Districts '!S88</f>
        <v>Yes</v>
      </c>
      <c r="T88" s="23">
        <f>'[13]1.RSP Districts '!T88</f>
        <v>6</v>
      </c>
      <c r="U88" s="1">
        <v>1</v>
      </c>
    </row>
    <row r="89" spans="1:25" ht="14.25">
      <c r="A89" s="21">
        <v>10</v>
      </c>
      <c r="B89" s="22" t="s">
        <v>86</v>
      </c>
      <c r="C89" s="23">
        <v>44</v>
      </c>
      <c r="D89" s="23">
        <v>38</v>
      </c>
      <c r="E89" s="23">
        <f>'[13]1.RSP Districts '!E89</f>
        <v>38</v>
      </c>
      <c r="F89" s="88">
        <f t="shared" si="14"/>
        <v>0</v>
      </c>
      <c r="G89" s="88">
        <f t="shared" si="15"/>
        <v>86.36363636363636</v>
      </c>
      <c r="H89" s="23">
        <v>178</v>
      </c>
      <c r="I89" s="23">
        <f>'[13]1.RSP Districts '!I89</f>
        <v>178</v>
      </c>
      <c r="J89" s="23">
        <v>121639.04761904762</v>
      </c>
      <c r="K89" s="34">
        <v>37589</v>
      </c>
      <c r="L89" s="23">
        <f>'[13]1.RSP Districts '!L89</f>
        <v>37589</v>
      </c>
      <c r="M89" s="88">
        <f t="shared" si="16"/>
        <v>0</v>
      </c>
      <c r="N89" s="88">
        <f t="shared" si="17"/>
        <v>30.902083447514503</v>
      </c>
      <c r="O89" s="34">
        <v>3605</v>
      </c>
      <c r="P89" s="23">
        <f>'[13]1.RSP Districts '!P89</f>
        <v>3605</v>
      </c>
      <c r="Q89" s="88">
        <f t="shared" si="18"/>
        <v>0</v>
      </c>
      <c r="R89" s="316" t="s">
        <v>8</v>
      </c>
      <c r="S89" s="23" t="str">
        <f>'[13]1.RSP Districts '!S89</f>
        <v>Yes</v>
      </c>
      <c r="T89" s="23">
        <f>'[13]1.RSP Districts '!T89</f>
        <v>8</v>
      </c>
      <c r="U89" s="1">
        <v>1</v>
      </c>
    </row>
    <row r="90" spans="1:25" ht="14.25">
      <c r="A90" s="21">
        <v>11</v>
      </c>
      <c r="B90" s="22" t="s">
        <v>87</v>
      </c>
      <c r="C90" s="23">
        <v>19</v>
      </c>
      <c r="D90" s="34">
        <v>15</v>
      </c>
      <c r="E90" s="34">
        <f>'[3]1.RSP Districts '!E90</f>
        <v>15</v>
      </c>
      <c r="F90" s="88">
        <f t="shared" si="14"/>
        <v>0</v>
      </c>
      <c r="G90" s="88">
        <f t="shared" si="15"/>
        <v>78.94736842105263</v>
      </c>
      <c r="H90" s="34">
        <v>21</v>
      </c>
      <c r="I90" s="34">
        <f>'[3]1.RSP Districts '!I90</f>
        <v>21</v>
      </c>
      <c r="J90" s="27">
        <v>47026</v>
      </c>
      <c r="K90" s="34">
        <v>23129</v>
      </c>
      <c r="L90" s="34">
        <f>'[3]1.RSP Districts '!L90</f>
        <v>23129</v>
      </c>
      <c r="M90" s="88">
        <f t="shared" si="16"/>
        <v>0</v>
      </c>
      <c r="N90" s="88">
        <f t="shared" si="17"/>
        <v>49.183430442733808</v>
      </c>
      <c r="O90" s="34">
        <v>1770</v>
      </c>
      <c r="P90" s="34">
        <f>'[3]1.RSP Districts '!P90</f>
        <v>1770</v>
      </c>
      <c r="Q90" s="88">
        <f t="shared" si="18"/>
        <v>0</v>
      </c>
      <c r="R90" s="316" t="s">
        <v>5</v>
      </c>
      <c r="S90" s="34" t="str">
        <f>'[3]1.RSP Districts '!S90</f>
        <v>No</v>
      </c>
      <c r="T90" s="34">
        <f>'[3]1.RSP Districts '!T90</f>
        <v>0</v>
      </c>
      <c r="U90" s="1">
        <v>1</v>
      </c>
      <c r="Y90" s="201" t="e">
        <f>I90-'[4]1.RSP Districts '!I90</f>
        <v>#REF!</v>
      </c>
    </row>
    <row r="91" spans="1:25" ht="14.25">
      <c r="A91" s="21">
        <v>12</v>
      </c>
      <c r="B91" s="22" t="s">
        <v>88</v>
      </c>
      <c r="C91" s="23">
        <v>41</v>
      </c>
      <c r="D91" s="34">
        <v>41</v>
      </c>
      <c r="E91" s="34">
        <f>'[3]1.RSP Districts '!E91</f>
        <v>41</v>
      </c>
      <c r="F91" s="88">
        <f t="shared" si="14"/>
        <v>0</v>
      </c>
      <c r="G91" s="88">
        <f t="shared" si="15"/>
        <v>100</v>
      </c>
      <c r="H91" s="34">
        <v>329</v>
      </c>
      <c r="I91" s="34">
        <f>'[3]1.RSP Districts '!I91</f>
        <v>329</v>
      </c>
      <c r="J91" s="27">
        <v>111973</v>
      </c>
      <c r="K91" s="34">
        <v>77240</v>
      </c>
      <c r="L91" s="34">
        <f>'[3]1.RSP Districts '!L91</f>
        <v>78367</v>
      </c>
      <c r="M91" s="88">
        <f t="shared" si="16"/>
        <v>1.4590885551527706</v>
      </c>
      <c r="N91" s="88">
        <f t="shared" si="17"/>
        <v>69.987407678636814</v>
      </c>
      <c r="O91" s="34">
        <v>4684</v>
      </c>
      <c r="P91" s="34">
        <f>'[3]1.RSP Districts '!P91</f>
        <v>4767</v>
      </c>
      <c r="Q91" s="88">
        <f t="shared" si="18"/>
        <v>1.77198975234842</v>
      </c>
      <c r="R91" s="316" t="s">
        <v>5</v>
      </c>
      <c r="S91" s="34" t="str">
        <f>'[3]1.RSP Districts '!S91</f>
        <v>Yes</v>
      </c>
      <c r="T91" s="34">
        <f>'[3]1.RSP Districts '!T91</f>
        <v>3</v>
      </c>
      <c r="U91" s="1">
        <v>1</v>
      </c>
      <c r="Y91" s="201" t="e">
        <f>I91-'[4]1.RSP Districts '!I91</f>
        <v>#REF!</v>
      </c>
    </row>
    <row r="92" spans="1:25" ht="14.25">
      <c r="A92" s="21">
        <v>13</v>
      </c>
      <c r="B92" s="22" t="s">
        <v>278</v>
      </c>
      <c r="C92" s="23">
        <v>51</v>
      </c>
      <c r="D92" s="23">
        <v>39</v>
      </c>
      <c r="E92" s="23">
        <f>'[13]1.RSP Districts '!E92</f>
        <v>41</v>
      </c>
      <c r="F92" s="88">
        <f t="shared" si="14"/>
        <v>5.1282051282051277</v>
      </c>
      <c r="G92" s="88">
        <f t="shared" si="15"/>
        <v>80.392156862745097</v>
      </c>
      <c r="H92" s="23">
        <v>142</v>
      </c>
      <c r="I92" s="23">
        <f>'[13]1.RSP Districts '!I92</f>
        <v>150</v>
      </c>
      <c r="J92" s="23">
        <v>164715</v>
      </c>
      <c r="K92" s="34">
        <v>29945</v>
      </c>
      <c r="L92" s="23">
        <f>'[13]1.RSP Districts '!L92</f>
        <v>31167</v>
      </c>
      <c r="M92" s="88">
        <f t="shared" si="16"/>
        <v>4.0808148271831692</v>
      </c>
      <c r="N92" s="88">
        <f t="shared" si="17"/>
        <v>18.921773973226482</v>
      </c>
      <c r="O92" s="34">
        <v>1729</v>
      </c>
      <c r="P92" s="23">
        <f>'[13]1.RSP Districts '!P92</f>
        <v>2017</v>
      </c>
      <c r="Q92" s="88">
        <f t="shared" si="18"/>
        <v>16.657027183342972</v>
      </c>
      <c r="R92" s="316" t="s">
        <v>8</v>
      </c>
      <c r="S92" s="23" t="str">
        <f>'[13]1.RSP Districts '!S92</f>
        <v>Yes</v>
      </c>
      <c r="T92" s="23">
        <f>'[13]1.RSP Districts '!T92</f>
        <v>10</v>
      </c>
      <c r="U92" s="1">
        <v>1</v>
      </c>
    </row>
    <row r="93" spans="1:25" ht="14.25">
      <c r="A93" s="21">
        <v>14</v>
      </c>
      <c r="B93" s="22" t="s">
        <v>89</v>
      </c>
      <c r="C93" s="23">
        <v>51</v>
      </c>
      <c r="D93" s="34">
        <v>27</v>
      </c>
      <c r="E93" s="34">
        <f>'[3]1.RSP Districts '!E93</f>
        <v>27</v>
      </c>
      <c r="F93" s="88">
        <f t="shared" si="14"/>
        <v>0</v>
      </c>
      <c r="G93" s="88">
        <f t="shared" si="15"/>
        <v>52.941176470588232</v>
      </c>
      <c r="H93" s="34">
        <v>54</v>
      </c>
      <c r="I93" s="34">
        <f>'[3]1.RSP Districts '!I93</f>
        <v>54</v>
      </c>
      <c r="J93" s="27">
        <v>141671</v>
      </c>
      <c r="K93" s="34">
        <v>3092</v>
      </c>
      <c r="L93" s="34">
        <f>'[3]1.RSP Districts '!L93</f>
        <v>3092</v>
      </c>
      <c r="M93" s="88">
        <f t="shared" si="16"/>
        <v>0</v>
      </c>
      <c r="N93" s="88">
        <f t="shared" si="17"/>
        <v>2.1825214758136808</v>
      </c>
      <c r="O93" s="34">
        <v>564</v>
      </c>
      <c r="P93" s="34">
        <f>'[3]1.RSP Districts '!P93</f>
        <v>564</v>
      </c>
      <c r="Q93" s="88">
        <f t="shared" si="18"/>
        <v>0</v>
      </c>
      <c r="R93" s="316" t="s">
        <v>5</v>
      </c>
      <c r="S93" s="34" t="str">
        <f>'[3]1.RSP Districts '!S93</f>
        <v>No</v>
      </c>
      <c r="T93" s="34">
        <f>'[3]1.RSP Districts '!T93</f>
        <v>0</v>
      </c>
      <c r="U93" s="1">
        <v>1</v>
      </c>
      <c r="Y93" s="201" t="e">
        <f>I93-'[4]1.RSP Districts '!I93</f>
        <v>#REF!</v>
      </c>
    </row>
    <row r="94" spans="1:25" ht="14.25">
      <c r="A94" s="21">
        <v>15</v>
      </c>
      <c r="B94" s="22" t="s">
        <v>90</v>
      </c>
      <c r="C94" s="23">
        <v>40</v>
      </c>
      <c r="D94" s="23">
        <v>34</v>
      </c>
      <c r="E94" s="23">
        <f>'[13]1.RSP Districts '!E94</f>
        <v>34</v>
      </c>
      <c r="F94" s="88">
        <f t="shared" si="14"/>
        <v>0</v>
      </c>
      <c r="G94" s="88">
        <f t="shared" si="15"/>
        <v>85</v>
      </c>
      <c r="H94" s="23">
        <v>236</v>
      </c>
      <c r="I94" s="23">
        <f>'[13]1.RSP Districts '!I94</f>
        <v>236</v>
      </c>
      <c r="J94" s="23">
        <v>128408</v>
      </c>
      <c r="K94" s="34">
        <v>29475</v>
      </c>
      <c r="L94" s="23">
        <f>'[13]1.RSP Districts '!L94</f>
        <v>29475</v>
      </c>
      <c r="M94" s="88">
        <f t="shared" si="16"/>
        <v>0</v>
      </c>
      <c r="N94" s="88">
        <f t="shared" si="17"/>
        <v>22.954177309824935</v>
      </c>
      <c r="O94" s="34">
        <v>2221</v>
      </c>
      <c r="P94" s="23">
        <f>'[13]1.RSP Districts '!P94</f>
        <v>2221</v>
      </c>
      <c r="Q94" s="88">
        <f t="shared" si="18"/>
        <v>0</v>
      </c>
      <c r="R94" s="316" t="s">
        <v>8</v>
      </c>
      <c r="S94" s="23" t="str">
        <f>'[13]1.RSP Districts '!S94</f>
        <v>Yes</v>
      </c>
      <c r="T94" s="23">
        <f>'[13]1.RSP Districts '!T94</f>
        <v>4</v>
      </c>
      <c r="U94" s="1">
        <v>1</v>
      </c>
    </row>
    <row r="95" spans="1:25" ht="14.25">
      <c r="A95" s="21">
        <v>16</v>
      </c>
      <c r="B95" s="22" t="s">
        <v>91</v>
      </c>
      <c r="C95" s="23">
        <v>55</v>
      </c>
      <c r="D95" s="23">
        <v>13</v>
      </c>
      <c r="E95" s="23">
        <f>D95</f>
        <v>13</v>
      </c>
      <c r="F95" s="88">
        <f t="shared" si="14"/>
        <v>0</v>
      </c>
      <c r="G95" s="88">
        <f t="shared" si="15"/>
        <v>23.636363636363633</v>
      </c>
      <c r="H95" s="23">
        <v>260</v>
      </c>
      <c r="I95" s="23">
        <f>H95</f>
        <v>260</v>
      </c>
      <c r="J95" s="23">
        <v>209191</v>
      </c>
      <c r="K95" s="34">
        <v>16500</v>
      </c>
      <c r="L95" s="23">
        <f>K95</f>
        <v>16500</v>
      </c>
      <c r="M95" s="88">
        <f t="shared" si="16"/>
        <v>0</v>
      </c>
      <c r="N95" s="88">
        <f t="shared" si="17"/>
        <v>7.8875286221682579</v>
      </c>
      <c r="O95" s="34">
        <v>860</v>
      </c>
      <c r="P95" s="23">
        <f>O95</f>
        <v>860</v>
      </c>
      <c r="Q95" s="88">
        <f t="shared" si="18"/>
        <v>0</v>
      </c>
      <c r="R95" s="316" t="s">
        <v>7</v>
      </c>
      <c r="S95" s="325" t="s">
        <v>341</v>
      </c>
      <c r="T95" s="337">
        <v>0</v>
      </c>
      <c r="U95" s="1">
        <v>1</v>
      </c>
    </row>
    <row r="96" spans="1:25" ht="14.25">
      <c r="A96" s="21">
        <v>17</v>
      </c>
      <c r="B96" s="22" t="s">
        <v>92</v>
      </c>
      <c r="C96" s="23">
        <v>51</v>
      </c>
      <c r="D96" s="23">
        <v>50</v>
      </c>
      <c r="E96" s="23">
        <f>'[13]1.RSP Districts '!E96</f>
        <v>50</v>
      </c>
      <c r="F96" s="88">
        <f t="shared" si="14"/>
        <v>0</v>
      </c>
      <c r="G96" s="88">
        <f t="shared" si="15"/>
        <v>98.039215686274503</v>
      </c>
      <c r="H96" s="23">
        <v>222</v>
      </c>
      <c r="I96" s="23">
        <f>'[13]1.RSP Districts '!I96</f>
        <v>222</v>
      </c>
      <c r="J96" s="23">
        <v>122340</v>
      </c>
      <c r="K96" s="34">
        <v>102306</v>
      </c>
      <c r="L96" s="23">
        <f>'[13]1.RSP Districts '!L96</f>
        <v>102306</v>
      </c>
      <c r="M96" s="88">
        <f t="shared" si="16"/>
        <v>0</v>
      </c>
      <c r="N96" s="88">
        <f t="shared" si="17"/>
        <v>83.624325649828336</v>
      </c>
      <c r="O96" s="34">
        <f>P96</f>
        <v>5846</v>
      </c>
      <c r="P96" s="23">
        <f>'[13]1.RSP Districts '!P96</f>
        <v>5846</v>
      </c>
      <c r="Q96" s="88">
        <f t="shared" si="18"/>
        <v>0</v>
      </c>
      <c r="R96" s="316" t="s">
        <v>8</v>
      </c>
      <c r="S96" s="23" t="str">
        <f>'[13]1.RSP Districts '!S96</f>
        <v>Yes</v>
      </c>
      <c r="T96" s="23">
        <f>'[13]1.RSP Districts '!T96</f>
        <v>6</v>
      </c>
      <c r="U96" s="1">
        <v>1</v>
      </c>
    </row>
    <row r="97" spans="1:25" ht="14.25">
      <c r="A97" s="21">
        <v>18</v>
      </c>
      <c r="B97" s="22" t="s">
        <v>279</v>
      </c>
      <c r="C97" s="23">
        <v>46</v>
      </c>
      <c r="D97" s="23">
        <v>26</v>
      </c>
      <c r="E97" s="23">
        <f>'[13]1.RSP Districts '!E97</f>
        <v>26</v>
      </c>
      <c r="F97" s="88">
        <f t="shared" si="14"/>
        <v>0</v>
      </c>
      <c r="G97" s="88">
        <f t="shared" si="15"/>
        <v>56.521739130434781</v>
      </c>
      <c r="H97" s="23">
        <v>200</v>
      </c>
      <c r="I97" s="23">
        <f>'[13]1.RSP Districts '!I97</f>
        <v>200</v>
      </c>
      <c r="J97" s="23">
        <v>78458</v>
      </c>
      <c r="K97" s="34">
        <v>37514</v>
      </c>
      <c r="L97" s="23">
        <f>'[13]1.RSP Districts '!L97</f>
        <v>37757</v>
      </c>
      <c r="M97" s="88">
        <f t="shared" si="16"/>
        <v>0.64775817028309435</v>
      </c>
      <c r="N97" s="88">
        <f t="shared" si="17"/>
        <v>48.123836957352978</v>
      </c>
      <c r="O97" s="34">
        <f>P97</f>
        <v>2698</v>
      </c>
      <c r="P97" s="23">
        <f>'[13]1.RSP Districts '!P97</f>
        <v>2698</v>
      </c>
      <c r="Q97" s="88">
        <f t="shared" si="18"/>
        <v>0</v>
      </c>
      <c r="R97" s="316" t="s">
        <v>8</v>
      </c>
      <c r="S97" s="23" t="str">
        <f>'[13]1.RSP Districts '!S97</f>
        <v>Yes</v>
      </c>
      <c r="T97" s="23">
        <f>'[13]1.RSP Districts '!T97</f>
        <v>6</v>
      </c>
      <c r="U97" s="1">
        <v>1</v>
      </c>
    </row>
    <row r="98" spans="1:25" s="6" customFormat="1" ht="14.25">
      <c r="A98" s="21">
        <v>19</v>
      </c>
      <c r="B98" s="22" t="s">
        <v>93</v>
      </c>
      <c r="C98" s="23">
        <v>19</v>
      </c>
      <c r="D98" s="34">
        <v>12</v>
      </c>
      <c r="E98" s="34">
        <f>'[3]1.RSP Districts '!E98</f>
        <v>12</v>
      </c>
      <c r="F98" s="88">
        <f t="shared" si="14"/>
        <v>0</v>
      </c>
      <c r="G98" s="88">
        <f t="shared" si="15"/>
        <v>63.157894736842103</v>
      </c>
      <c r="H98" s="34">
        <v>19</v>
      </c>
      <c r="I98" s="34">
        <f>'[3]1.RSP Districts '!I98</f>
        <v>19</v>
      </c>
      <c r="J98" s="27">
        <v>47082</v>
      </c>
      <c r="K98" s="34">
        <v>21838</v>
      </c>
      <c r="L98" s="34">
        <f>'[3]1.RSP Districts '!L98</f>
        <v>21838</v>
      </c>
      <c r="M98" s="88">
        <f t="shared" si="16"/>
        <v>0</v>
      </c>
      <c r="N98" s="88">
        <f t="shared" si="17"/>
        <v>46.382906418588846</v>
      </c>
      <c r="O98" s="34">
        <v>1673</v>
      </c>
      <c r="P98" s="34">
        <f>'[3]1.RSP Districts '!P98</f>
        <v>1673</v>
      </c>
      <c r="Q98" s="88">
        <f t="shared" si="18"/>
        <v>0</v>
      </c>
      <c r="R98" s="316" t="s">
        <v>5</v>
      </c>
      <c r="S98" s="34" t="str">
        <f>'[3]1.RSP Districts '!S98</f>
        <v>No</v>
      </c>
      <c r="T98" s="34">
        <f>'[3]1.RSP Districts '!T98</f>
        <v>1</v>
      </c>
      <c r="U98" s="1">
        <v>1</v>
      </c>
      <c r="Y98" s="201" t="e">
        <f>I98-'[4]1.RSP Districts '!I98</f>
        <v>#REF!</v>
      </c>
    </row>
    <row r="99" spans="1:25" s="6" customFormat="1" ht="14.25">
      <c r="A99" s="21">
        <v>20</v>
      </c>
      <c r="B99" s="22" t="s">
        <v>94</v>
      </c>
      <c r="C99" s="23">
        <v>16</v>
      </c>
      <c r="D99" s="34">
        <v>13</v>
      </c>
      <c r="E99" s="34">
        <f>'[3]1.RSP Districts '!E99</f>
        <v>13</v>
      </c>
      <c r="F99" s="88">
        <f t="shared" si="14"/>
        <v>0</v>
      </c>
      <c r="G99" s="88">
        <f t="shared" si="15"/>
        <v>81.25</v>
      </c>
      <c r="H99" s="34">
        <v>66</v>
      </c>
      <c r="I99" s="34">
        <f>'[3]1.RSP Districts '!I99</f>
        <v>66</v>
      </c>
      <c r="J99" s="27">
        <v>39648</v>
      </c>
      <c r="K99" s="34">
        <v>19042</v>
      </c>
      <c r="L99" s="34">
        <f>'[3]1.RSP Districts '!L99</f>
        <v>19042</v>
      </c>
      <c r="M99" s="88">
        <f t="shared" si="16"/>
        <v>0</v>
      </c>
      <c r="N99" s="88">
        <f t="shared" si="17"/>
        <v>48.027643260694106</v>
      </c>
      <c r="O99" s="34">
        <v>1156</v>
      </c>
      <c r="P99" s="34">
        <f>'[3]1.RSP Districts '!P99</f>
        <v>1156</v>
      </c>
      <c r="Q99" s="88">
        <f t="shared" si="18"/>
        <v>0</v>
      </c>
      <c r="R99" s="316" t="s">
        <v>5</v>
      </c>
      <c r="S99" s="34" t="str">
        <f>'[3]1.RSP Districts '!S99</f>
        <v>No</v>
      </c>
      <c r="T99" s="34">
        <f>'[3]1.RSP Districts '!T99</f>
        <v>1</v>
      </c>
      <c r="U99" s="1">
        <v>1</v>
      </c>
      <c r="Y99" s="201" t="e">
        <f>I99-'[4]1.RSP Districts '!I99</f>
        <v>#REF!</v>
      </c>
    </row>
    <row r="100" spans="1:25" s="6" customFormat="1" ht="14.25">
      <c r="A100" s="21">
        <v>21</v>
      </c>
      <c r="B100" s="22" t="s">
        <v>95</v>
      </c>
      <c r="C100" s="23">
        <v>44</v>
      </c>
      <c r="D100" s="23">
        <v>44</v>
      </c>
      <c r="E100" s="23">
        <f>'[11]1.RSP Districts '!E100</f>
        <v>44</v>
      </c>
      <c r="F100" s="88">
        <f t="shared" si="14"/>
        <v>0</v>
      </c>
      <c r="G100" s="88">
        <f t="shared" si="15"/>
        <v>100</v>
      </c>
      <c r="H100" s="23">
        <v>166</v>
      </c>
      <c r="I100" s="23">
        <f>'[11]1.RSP Districts '!I100</f>
        <v>166</v>
      </c>
      <c r="J100" s="23">
        <v>159486</v>
      </c>
      <c r="K100" s="34">
        <v>159665</v>
      </c>
      <c r="L100" s="23">
        <f>'[11]1.RSP Districts '!L100</f>
        <v>159665</v>
      </c>
      <c r="M100" s="88">
        <f t="shared" si="16"/>
        <v>0</v>
      </c>
      <c r="N100" s="88">
        <f t="shared" si="17"/>
        <v>100.11223555672599</v>
      </c>
      <c r="O100" s="34">
        <v>11485</v>
      </c>
      <c r="P100" s="23">
        <f>'[11]1.RSP Districts '!P100</f>
        <v>11485</v>
      </c>
      <c r="Q100" s="88">
        <f t="shared" si="18"/>
        <v>0</v>
      </c>
      <c r="R100" s="317" t="s">
        <v>10</v>
      </c>
      <c r="S100" s="23" t="str">
        <f>'[11]1.RSP Districts '!S100</f>
        <v>Yes</v>
      </c>
      <c r="T100" s="23">
        <f>'[11]1.RSP Districts '!T100</f>
        <v>12</v>
      </c>
      <c r="U100" s="1">
        <v>1</v>
      </c>
      <c r="V100" s="6">
        <f>8</f>
        <v>8</v>
      </c>
      <c r="W100" s="201">
        <f>C100-'[12]1.RSP Districts '!C100</f>
        <v>44</v>
      </c>
    </row>
    <row r="101" spans="1:25" s="6" customFormat="1" ht="14.25">
      <c r="A101" s="21">
        <v>22</v>
      </c>
      <c r="B101" s="22" t="s">
        <v>96</v>
      </c>
      <c r="C101" s="23">
        <v>55</v>
      </c>
      <c r="D101" s="34">
        <v>52</v>
      </c>
      <c r="E101" s="34">
        <f>'[3]1.RSP Districts '!E101</f>
        <v>52</v>
      </c>
      <c r="F101" s="88">
        <f t="shared" si="14"/>
        <v>0</v>
      </c>
      <c r="G101" s="88">
        <f t="shared" si="15"/>
        <v>94.545454545454533</v>
      </c>
      <c r="H101" s="34">
        <v>298</v>
      </c>
      <c r="I101" s="34">
        <f>'[3]1.RSP Districts '!I101</f>
        <v>298</v>
      </c>
      <c r="J101" s="27">
        <v>202554</v>
      </c>
      <c r="K101" s="34">
        <v>41065</v>
      </c>
      <c r="L101" s="34">
        <f>'[3]1.RSP Districts '!L101</f>
        <v>43043</v>
      </c>
      <c r="M101" s="88">
        <f t="shared" si="16"/>
        <v>4.8167539267015709</v>
      </c>
      <c r="N101" s="88">
        <f t="shared" si="17"/>
        <v>21.250135766264798</v>
      </c>
      <c r="O101" s="34">
        <v>2340</v>
      </c>
      <c r="P101" s="34">
        <f>'[3]1.RSP Districts '!P101</f>
        <v>2491</v>
      </c>
      <c r="Q101" s="88">
        <f t="shared" si="18"/>
        <v>6.4529914529914532</v>
      </c>
      <c r="R101" s="316" t="s">
        <v>5</v>
      </c>
      <c r="S101" s="34" t="str">
        <f>'[3]1.RSP Districts '!S101</f>
        <v>Yes</v>
      </c>
      <c r="T101" s="34">
        <f>'[3]1.RSP Districts '!T101</f>
        <v>4</v>
      </c>
      <c r="U101" s="1">
        <v>1</v>
      </c>
      <c r="Y101" s="201" t="e">
        <f>I101-'[4]1.RSP Districts '!I101</f>
        <v>#REF!</v>
      </c>
    </row>
    <row r="102" spans="1:25" s="6" customFormat="1" ht="14.25">
      <c r="A102" s="32">
        <v>23</v>
      </c>
      <c r="B102" s="33" t="s">
        <v>314</v>
      </c>
      <c r="C102" s="34">
        <v>27</v>
      </c>
      <c r="D102" s="34">
        <v>1</v>
      </c>
      <c r="E102" s="34">
        <f>'[3]1.RSP Districts '!E102</f>
        <v>1</v>
      </c>
      <c r="F102" s="88">
        <f t="shared" si="14"/>
        <v>0</v>
      </c>
      <c r="G102" s="88">
        <f t="shared" si="15"/>
        <v>3.7037037037037033</v>
      </c>
      <c r="H102" s="34">
        <v>5</v>
      </c>
      <c r="I102" s="34">
        <f>'[3]1.RSP Districts '!I102</f>
        <v>5</v>
      </c>
      <c r="J102" s="27">
        <v>202554</v>
      </c>
      <c r="K102" s="34">
        <v>941</v>
      </c>
      <c r="L102" s="34">
        <f>'[3]1.RSP Districts '!L102</f>
        <v>2148</v>
      </c>
      <c r="M102" s="119">
        <f t="shared" si="16"/>
        <v>128.26780021253984</v>
      </c>
      <c r="N102" s="119">
        <f t="shared" si="17"/>
        <v>1.0604579519535531</v>
      </c>
      <c r="O102" s="34">
        <v>132</v>
      </c>
      <c r="P102" s="34">
        <f>'[3]1.RSP Districts '!P102</f>
        <v>179</v>
      </c>
      <c r="Q102" s="119">
        <f t="shared" si="18"/>
        <v>35.606060606060602</v>
      </c>
      <c r="R102" s="318" t="s">
        <v>5</v>
      </c>
      <c r="S102" s="34" t="str">
        <f>'[3]1.RSP Districts '!S102</f>
        <v>No</v>
      </c>
      <c r="T102" s="34">
        <f>'[3]1.RSP Districts '!T102</f>
        <v>1</v>
      </c>
      <c r="U102" s="1">
        <v>1</v>
      </c>
      <c r="V102" s="6" t="s">
        <v>311</v>
      </c>
      <c r="Y102" s="201" t="e">
        <f>I102-'[4]1.RSP Districts '!I102</f>
        <v>#REF!</v>
      </c>
    </row>
    <row r="103" spans="1:25" s="6" customFormat="1" thickBot="1">
      <c r="A103" s="32">
        <v>23</v>
      </c>
      <c r="B103" s="33" t="s">
        <v>97</v>
      </c>
      <c r="C103" s="34">
        <v>27</v>
      </c>
      <c r="D103" s="23">
        <v>27</v>
      </c>
      <c r="E103" s="23">
        <f>'[11]1.RSP Districts '!E103</f>
        <v>27</v>
      </c>
      <c r="F103" s="119">
        <f t="shared" si="14"/>
        <v>0</v>
      </c>
      <c r="G103" s="119">
        <f t="shared" si="15"/>
        <v>100</v>
      </c>
      <c r="H103" s="23">
        <v>186</v>
      </c>
      <c r="I103" s="23">
        <f>'[11]1.RSP Districts '!I103</f>
        <v>186</v>
      </c>
      <c r="J103" s="34">
        <v>106515</v>
      </c>
      <c r="K103" s="34">
        <v>45128</v>
      </c>
      <c r="L103" s="23">
        <f>'[11]1.RSP Districts '!L103</f>
        <v>45448</v>
      </c>
      <c r="M103" s="119">
        <f t="shared" si="16"/>
        <v>0.70909413224605566</v>
      </c>
      <c r="N103" s="119">
        <f t="shared" si="17"/>
        <v>42.668168802516071</v>
      </c>
      <c r="O103" s="34">
        <v>2768</v>
      </c>
      <c r="P103" s="23">
        <f>'[11]1.RSP Districts '!P103</f>
        <v>2785</v>
      </c>
      <c r="Q103" s="119">
        <f t="shared" si="18"/>
        <v>0.61416184971098264</v>
      </c>
      <c r="R103" s="319" t="s">
        <v>10</v>
      </c>
      <c r="S103" s="23" t="str">
        <f>'[11]1.RSP Districts '!S103</f>
        <v>Yes</v>
      </c>
      <c r="T103" s="23">
        <f>'[11]1.RSP Districts '!T103</f>
        <v>4</v>
      </c>
      <c r="U103" s="1">
        <v>1</v>
      </c>
      <c r="W103" s="201">
        <f>C103-'[12]1.RSP Districts '!C103</f>
        <v>27</v>
      </c>
    </row>
    <row r="104" spans="1:25" s="4" customFormat="1" ht="15.75" thickBot="1">
      <c r="A104" s="131">
        <f>COUNTIF(R80:R103,"*")-1</f>
        <v>22</v>
      </c>
      <c r="B104" s="130" t="s">
        <v>76</v>
      </c>
      <c r="C104" s="49">
        <f>SUM(C80:C103)-C102</f>
        <v>921</v>
      </c>
      <c r="D104" s="49">
        <f>SUM(D80:D103)-D102</f>
        <v>691</v>
      </c>
      <c r="E104" s="49">
        <f>SUM(E80:E103)-E102</f>
        <v>694</v>
      </c>
      <c r="F104" s="132">
        <f t="shared" si="14"/>
        <v>0.43415340086830678</v>
      </c>
      <c r="G104" s="132">
        <f t="shared" si="15"/>
        <v>75.352877307274696</v>
      </c>
      <c r="H104" s="49">
        <f>SUM(H80:H103)</f>
        <v>3962</v>
      </c>
      <c r="I104" s="49">
        <f>SUM(I80:I103)</f>
        <v>3972</v>
      </c>
      <c r="J104" s="49">
        <f>SUM(J80:J103)-J102</f>
        <v>2816903.1255411254</v>
      </c>
      <c r="K104" s="49">
        <f>SUM(K80:K103)</f>
        <v>1192574</v>
      </c>
      <c r="L104" s="49">
        <f>SUM(L80:L103)</f>
        <v>1201358</v>
      </c>
      <c r="M104" s="132">
        <f t="shared" si="16"/>
        <v>0.73655806683694258</v>
      </c>
      <c r="N104" s="132">
        <f t="shared" si="17"/>
        <v>42.648183003070791</v>
      </c>
      <c r="O104" s="49">
        <f>SUM(O80:O103)</f>
        <v>73721</v>
      </c>
      <c r="P104" s="49">
        <f>SUM(P80:P103)</f>
        <v>74446</v>
      </c>
      <c r="Q104" s="132">
        <f t="shared" si="18"/>
        <v>0.98343755510641473</v>
      </c>
      <c r="R104" s="313"/>
      <c r="S104" s="327"/>
      <c r="T104" s="327"/>
      <c r="U104" s="1">
        <v>1</v>
      </c>
    </row>
    <row r="105" spans="1:25" ht="5.25" customHeight="1" thickBot="1">
      <c r="A105" s="30"/>
      <c r="B105" s="31"/>
      <c r="C105" s="25"/>
      <c r="D105" s="25"/>
      <c r="E105" s="25"/>
      <c r="F105" s="89"/>
      <c r="G105" s="89"/>
      <c r="H105" s="89"/>
      <c r="I105" s="89"/>
      <c r="J105" s="25"/>
      <c r="K105" s="25"/>
      <c r="L105" s="25"/>
      <c r="M105" s="25"/>
      <c r="N105" s="25"/>
      <c r="O105" s="25"/>
      <c r="P105" s="25"/>
      <c r="Q105" s="25"/>
      <c r="R105" s="14"/>
      <c r="S105" s="325"/>
      <c r="T105" s="325"/>
      <c r="U105" s="1">
        <v>1</v>
      </c>
    </row>
    <row r="106" spans="1:25" s="5" customFormat="1" ht="14.25">
      <c r="A106" s="17" t="s">
        <v>98</v>
      </c>
      <c r="B106" s="18"/>
      <c r="C106" s="19"/>
      <c r="D106" s="26"/>
      <c r="E106" s="26"/>
      <c r="F106" s="90"/>
      <c r="G106" s="90"/>
      <c r="H106" s="90"/>
      <c r="I106" s="90"/>
      <c r="J106" s="19"/>
      <c r="K106" s="26"/>
      <c r="L106" s="26"/>
      <c r="M106" s="26"/>
      <c r="N106" s="26"/>
      <c r="O106" s="26"/>
      <c r="P106" s="26"/>
      <c r="Q106" s="26"/>
      <c r="R106" s="19"/>
      <c r="S106" s="326"/>
      <c r="T106" s="326"/>
      <c r="U106" s="1">
        <v>1</v>
      </c>
    </row>
    <row r="107" spans="1:25" s="6" customFormat="1" ht="14.25">
      <c r="A107" s="21">
        <v>1</v>
      </c>
      <c r="B107" s="22" t="s">
        <v>99</v>
      </c>
      <c r="C107" s="27">
        <v>65</v>
      </c>
      <c r="D107" s="23">
        <v>12</v>
      </c>
      <c r="E107" s="23">
        <f>'[2]1.RSP Districts '!E107</f>
        <v>12</v>
      </c>
      <c r="F107" s="88">
        <f t="shared" ref="F107:F159" si="19">(E107-D107)/D107%</f>
        <v>0</v>
      </c>
      <c r="G107" s="88">
        <f t="shared" ref="G107:G159" si="20">E107/C107%</f>
        <v>18.46153846153846</v>
      </c>
      <c r="H107" s="23">
        <v>69</v>
      </c>
      <c r="I107" s="23">
        <f>'[2]1.RSP Districts '!I107</f>
        <v>69</v>
      </c>
      <c r="J107" s="23">
        <v>164849</v>
      </c>
      <c r="K107" s="23">
        <v>19074</v>
      </c>
      <c r="L107" s="23">
        <f>'[2]1.RSP Districts '!L107</f>
        <v>19074</v>
      </c>
      <c r="M107" s="88">
        <f t="shared" ref="M107:M159" si="21">(L107-K107)/K107%</f>
        <v>0</v>
      </c>
      <c r="N107" s="88">
        <f t="shared" ref="N107:N159" si="22">L107/J107%</f>
        <v>11.570588841909869</v>
      </c>
      <c r="O107" s="23">
        <v>1635</v>
      </c>
      <c r="P107" s="23">
        <f>'[2]1.RSP Districts '!P107</f>
        <v>1635</v>
      </c>
      <c r="Q107" s="88">
        <f t="shared" ref="Q107:Q159" si="23">(P107-O107)/O107%</f>
        <v>0</v>
      </c>
      <c r="R107" s="317" t="s">
        <v>4</v>
      </c>
      <c r="S107" s="23" t="str">
        <f>'[2]1.RSP Districts '!S107</f>
        <v>No</v>
      </c>
      <c r="T107" s="23">
        <f>'[2]1.RSP Districts '!T107</f>
        <v>9</v>
      </c>
      <c r="U107" s="1">
        <v>1</v>
      </c>
      <c r="V107" s="137"/>
    </row>
    <row r="108" spans="1:25" ht="14.25">
      <c r="A108" s="21">
        <v>1</v>
      </c>
      <c r="B108" s="22" t="s">
        <v>100</v>
      </c>
      <c r="C108" s="23">
        <v>65</v>
      </c>
      <c r="D108" s="34">
        <v>64</v>
      </c>
      <c r="E108" s="34">
        <f>'[3]1.RSP Districts '!E108</f>
        <v>64</v>
      </c>
      <c r="F108" s="88">
        <f t="shared" si="19"/>
        <v>0</v>
      </c>
      <c r="G108" s="88">
        <f t="shared" si="20"/>
        <v>98.461538461538453</v>
      </c>
      <c r="H108" s="34">
        <v>454</v>
      </c>
      <c r="I108" s="34">
        <f>'[3]1.RSP Districts '!I108</f>
        <v>454</v>
      </c>
      <c r="J108" s="23">
        <v>164849</v>
      </c>
      <c r="K108" s="23">
        <v>66651</v>
      </c>
      <c r="L108" s="34">
        <f>'[3]1.RSP Districts '!L108</f>
        <v>66651</v>
      </c>
      <c r="M108" s="88">
        <f t="shared" si="21"/>
        <v>0</v>
      </c>
      <c r="N108" s="88">
        <f t="shared" si="22"/>
        <v>40.431546445535005</v>
      </c>
      <c r="O108" s="23">
        <v>4318</v>
      </c>
      <c r="P108" s="34">
        <f>'[3]1.RSP Districts '!P108</f>
        <v>4318</v>
      </c>
      <c r="Q108" s="88">
        <f t="shared" si="23"/>
        <v>0</v>
      </c>
      <c r="R108" s="314" t="s">
        <v>5</v>
      </c>
      <c r="S108" s="34" t="str">
        <f>'[3]1.RSP Districts '!S108</f>
        <v>Yes</v>
      </c>
      <c r="T108" s="34">
        <f>'[3]1.RSP Districts '!T108</f>
        <v>5</v>
      </c>
      <c r="U108" s="1">
        <v>1</v>
      </c>
      <c r="V108" s="137"/>
      <c r="Y108" s="201" t="e">
        <f>I108-'[4]1.RSP Districts '!I108</f>
        <v>#REF!</v>
      </c>
    </row>
    <row r="109" spans="1:25" s="6" customFormat="1" ht="14.25">
      <c r="A109" s="21">
        <v>2</v>
      </c>
      <c r="B109" s="22" t="s">
        <v>101</v>
      </c>
      <c r="C109" s="23">
        <v>101</v>
      </c>
      <c r="D109" s="34">
        <v>101</v>
      </c>
      <c r="E109" s="34">
        <f>'[3]1.RSP Districts '!E109</f>
        <v>101</v>
      </c>
      <c r="F109" s="88">
        <f t="shared" si="19"/>
        <v>0</v>
      </c>
      <c r="G109" s="88">
        <f t="shared" si="20"/>
        <v>100</v>
      </c>
      <c r="H109" s="34">
        <v>869</v>
      </c>
      <c r="I109" s="34">
        <f>'[3]1.RSP Districts '!I109</f>
        <v>869</v>
      </c>
      <c r="J109" s="27">
        <v>158489</v>
      </c>
      <c r="K109" s="23">
        <v>227972</v>
      </c>
      <c r="L109" s="34">
        <f>'[3]1.RSP Districts '!L109</f>
        <v>233312</v>
      </c>
      <c r="M109" s="88">
        <f t="shared" si="21"/>
        <v>2.3423929254469851</v>
      </c>
      <c r="N109" s="88">
        <f t="shared" si="22"/>
        <v>147.21021648190094</v>
      </c>
      <c r="O109" s="23">
        <v>16167</v>
      </c>
      <c r="P109" s="34">
        <f>'[3]1.RSP Districts '!P109</f>
        <v>16612</v>
      </c>
      <c r="Q109" s="88">
        <f t="shared" si="23"/>
        <v>2.7525205665862562</v>
      </c>
      <c r="R109" s="317" t="s">
        <v>5</v>
      </c>
      <c r="S109" s="34" t="str">
        <f>'[3]1.RSP Districts '!S109</f>
        <v>Yes</v>
      </c>
      <c r="T109" s="34">
        <f>'[3]1.RSP Districts '!T109</f>
        <v>6</v>
      </c>
      <c r="U109" s="1">
        <v>1</v>
      </c>
      <c r="V109" s="137"/>
      <c r="Y109" s="201" t="e">
        <f>I109-'[4]1.RSP Districts '!I109</f>
        <v>#REF!</v>
      </c>
    </row>
    <row r="110" spans="1:25" s="6" customFormat="1" ht="14.25">
      <c r="A110" s="21">
        <v>3</v>
      </c>
      <c r="B110" s="22" t="s">
        <v>102</v>
      </c>
      <c r="C110" s="23">
        <v>97</v>
      </c>
      <c r="D110" s="34">
        <v>97</v>
      </c>
      <c r="E110" s="34">
        <f>'[3]1.RSP Districts '!E110</f>
        <v>97</v>
      </c>
      <c r="F110" s="88">
        <f t="shared" si="19"/>
        <v>0</v>
      </c>
      <c r="G110" s="88">
        <f t="shared" si="20"/>
        <v>100</v>
      </c>
      <c r="H110" s="34">
        <v>609</v>
      </c>
      <c r="I110" s="34">
        <f>'[3]1.RSP Districts '!I110</f>
        <v>609</v>
      </c>
      <c r="J110" s="27">
        <v>128856</v>
      </c>
      <c r="K110" s="23">
        <v>285974</v>
      </c>
      <c r="L110" s="34">
        <f>'[3]1.RSP Districts '!L110</f>
        <v>290390</v>
      </c>
      <c r="M110" s="88">
        <f t="shared" si="21"/>
        <v>1.5441963255400841</v>
      </c>
      <c r="N110" s="88">
        <f t="shared" si="22"/>
        <v>225.36009188551563</v>
      </c>
      <c r="O110" s="23">
        <v>19107</v>
      </c>
      <c r="P110" s="34">
        <f>'[3]1.RSP Districts '!P110</f>
        <v>19475</v>
      </c>
      <c r="Q110" s="88">
        <f t="shared" si="23"/>
        <v>1.9259957083791281</v>
      </c>
      <c r="R110" s="317" t="s">
        <v>5</v>
      </c>
      <c r="S110" s="34" t="str">
        <f>'[3]1.RSP Districts '!S110</f>
        <v>Yes</v>
      </c>
      <c r="T110" s="34">
        <f>'[3]1.RSP Districts '!T110</f>
        <v>5</v>
      </c>
      <c r="U110" s="1">
        <v>1</v>
      </c>
      <c r="V110" s="137"/>
      <c r="Y110" s="201" t="e">
        <f>I110-'[4]1.RSP Districts '!I110</f>
        <v>#REF!</v>
      </c>
    </row>
    <row r="111" spans="1:25" s="6" customFormat="1" ht="14.25">
      <c r="A111" s="21">
        <v>4</v>
      </c>
      <c r="B111" s="22" t="s">
        <v>103</v>
      </c>
      <c r="C111" s="23">
        <v>42</v>
      </c>
      <c r="D111" s="34">
        <v>40</v>
      </c>
      <c r="E111" s="34">
        <f>'[3]1.RSP Districts '!E111</f>
        <v>42</v>
      </c>
      <c r="F111" s="88">
        <f t="shared" si="19"/>
        <v>5</v>
      </c>
      <c r="G111" s="88">
        <f t="shared" si="20"/>
        <v>100</v>
      </c>
      <c r="H111" s="34">
        <v>530</v>
      </c>
      <c r="I111" s="34">
        <f>'[3]1.RSP Districts '!I111</f>
        <v>530</v>
      </c>
      <c r="J111" s="27">
        <v>90682.077922077922</v>
      </c>
      <c r="K111" s="23">
        <v>159387</v>
      </c>
      <c r="L111" s="34">
        <f>'[3]1.RSP Districts '!L111</f>
        <v>159387</v>
      </c>
      <c r="M111" s="88">
        <f t="shared" si="21"/>
        <v>0</v>
      </c>
      <c r="N111" s="88">
        <f t="shared" si="22"/>
        <v>175.76460933874878</v>
      </c>
      <c r="O111" s="23">
        <v>10036</v>
      </c>
      <c r="P111" s="34">
        <f>'[3]1.RSP Districts '!P111</f>
        <v>10036</v>
      </c>
      <c r="Q111" s="88">
        <f t="shared" si="23"/>
        <v>0</v>
      </c>
      <c r="R111" s="317" t="s">
        <v>5</v>
      </c>
      <c r="S111" s="34" t="str">
        <f>'[3]1.RSP Districts '!S111</f>
        <v>Yes</v>
      </c>
      <c r="T111" s="34">
        <f>'[3]1.RSP Districts '!T111</f>
        <v>4</v>
      </c>
      <c r="U111" s="1">
        <v>1</v>
      </c>
      <c r="V111" s="137"/>
      <c r="Y111" s="201" t="e">
        <f>I111-'[4]1.RSP Districts '!I111</f>
        <v>#REF!</v>
      </c>
    </row>
    <row r="112" spans="1:25" s="6" customFormat="1" ht="14.25">
      <c r="A112" s="21">
        <v>5</v>
      </c>
      <c r="B112" s="22" t="s">
        <v>104</v>
      </c>
      <c r="C112" s="23">
        <v>65</v>
      </c>
      <c r="D112" s="34">
        <v>60</v>
      </c>
      <c r="E112" s="34">
        <f>'[3]1.RSP Districts '!E112</f>
        <v>60</v>
      </c>
      <c r="F112" s="88">
        <f t="shared" si="19"/>
        <v>0</v>
      </c>
      <c r="G112" s="88">
        <f t="shared" si="20"/>
        <v>92.307692307692307</v>
      </c>
      <c r="H112" s="34">
        <v>418</v>
      </c>
      <c r="I112" s="34">
        <f>'[3]1.RSP Districts '!I112</f>
        <v>418</v>
      </c>
      <c r="J112" s="27">
        <v>88816</v>
      </c>
      <c r="K112" s="23">
        <v>70915</v>
      </c>
      <c r="L112" s="34">
        <f>'[3]1.RSP Districts '!L112</f>
        <v>70915</v>
      </c>
      <c r="M112" s="88">
        <f t="shared" si="21"/>
        <v>0</v>
      </c>
      <c r="N112" s="88">
        <f t="shared" si="22"/>
        <v>79.844847775175651</v>
      </c>
      <c r="O112" s="23">
        <v>3875</v>
      </c>
      <c r="P112" s="34">
        <f>'[3]1.RSP Districts '!P112</f>
        <v>3875</v>
      </c>
      <c r="Q112" s="88">
        <f t="shared" si="23"/>
        <v>0</v>
      </c>
      <c r="R112" s="317" t="s">
        <v>5</v>
      </c>
      <c r="S112" s="34" t="str">
        <f>'[3]1.RSP Districts '!S112</f>
        <v>Yes</v>
      </c>
      <c r="T112" s="34">
        <f>'[3]1.RSP Districts '!T112</f>
        <v>3</v>
      </c>
      <c r="U112" s="1">
        <v>1</v>
      </c>
      <c r="V112" s="137"/>
      <c r="Y112" s="201" t="e">
        <f>I112-'[4]1.RSP Districts '!I112</f>
        <v>#REF!</v>
      </c>
    </row>
    <row r="113" spans="1:25" s="6" customFormat="1" ht="14.25">
      <c r="A113" s="21">
        <v>6</v>
      </c>
      <c r="B113" s="22" t="s">
        <v>224</v>
      </c>
      <c r="C113" s="23">
        <v>42</v>
      </c>
      <c r="D113" s="23">
        <v>0</v>
      </c>
      <c r="E113" s="23">
        <f>'[14]1.RSP Districts '!E113</f>
        <v>0</v>
      </c>
      <c r="F113" s="88">
        <v>0</v>
      </c>
      <c r="G113" s="88">
        <f t="shared" si="20"/>
        <v>0</v>
      </c>
      <c r="H113" s="23">
        <v>0</v>
      </c>
      <c r="I113" s="23">
        <f>'[14]1.RSP Districts '!I113</f>
        <v>0</v>
      </c>
      <c r="J113" s="146">
        <v>81625.384615384493</v>
      </c>
      <c r="K113" s="23">
        <v>1069</v>
      </c>
      <c r="L113" s="23">
        <f>'[14]1.RSP Districts '!L113</f>
        <v>1069</v>
      </c>
      <c r="M113" s="88">
        <f t="shared" si="21"/>
        <v>0</v>
      </c>
      <c r="N113" s="88">
        <f t="shared" si="22"/>
        <v>1.3096416084739873</v>
      </c>
      <c r="O113" s="23">
        <v>60</v>
      </c>
      <c r="P113" s="23">
        <f>'[14]1.RSP Districts '!P113</f>
        <v>60</v>
      </c>
      <c r="Q113" s="88">
        <f t="shared" si="23"/>
        <v>0</v>
      </c>
      <c r="R113" s="24" t="s">
        <v>6</v>
      </c>
      <c r="S113" s="23" t="str">
        <f>'[14]1.RSP Districts '!S113</f>
        <v>No</v>
      </c>
      <c r="T113" s="23">
        <f>'[14]1.RSP Districts '!T113</f>
        <v>0</v>
      </c>
      <c r="U113" s="1">
        <v>1</v>
      </c>
      <c r="V113" s="137"/>
    </row>
    <row r="114" spans="1:25" s="6" customFormat="1" ht="14.25">
      <c r="A114" s="21">
        <v>6</v>
      </c>
      <c r="B114" s="22" t="s">
        <v>312</v>
      </c>
      <c r="C114" s="23">
        <v>42</v>
      </c>
      <c r="D114" s="34">
        <v>1</v>
      </c>
      <c r="E114" s="34">
        <f>'[3]1.RSP Districts '!E114</f>
        <v>1</v>
      </c>
      <c r="F114" s="88">
        <f t="shared" si="19"/>
        <v>0</v>
      </c>
      <c r="G114" s="88">
        <f t="shared" si="20"/>
        <v>2.3809523809523809</v>
      </c>
      <c r="H114" s="34">
        <v>10</v>
      </c>
      <c r="I114" s="34">
        <f>'[3]1.RSP Districts '!I114</f>
        <v>10</v>
      </c>
      <c r="J114" s="146">
        <f>J113</f>
        <v>81625.384615384493</v>
      </c>
      <c r="K114" s="23">
        <v>1191</v>
      </c>
      <c r="L114" s="34">
        <f>'[3]1.RSP Districts '!L114</f>
        <v>1488</v>
      </c>
      <c r="M114" s="88">
        <f t="shared" si="21"/>
        <v>24.937027707808564</v>
      </c>
      <c r="N114" s="88">
        <f t="shared" ref="N114" si="24">L114/J114%</f>
        <v>1.8229623137598625</v>
      </c>
      <c r="O114" s="23">
        <v>107</v>
      </c>
      <c r="P114" s="34">
        <f>'[3]1.RSP Districts '!P114</f>
        <v>124</v>
      </c>
      <c r="Q114" s="88">
        <f t="shared" si="23"/>
        <v>15.887850467289718</v>
      </c>
      <c r="R114" s="24" t="s">
        <v>5</v>
      </c>
      <c r="S114" s="34" t="str">
        <f>'[3]1.RSP Districts '!S114</f>
        <v>No</v>
      </c>
      <c r="T114" s="34">
        <f>'[3]1.RSP Districts '!T114</f>
        <v>3</v>
      </c>
      <c r="U114" s="1">
        <v>1</v>
      </c>
      <c r="V114" s="137" t="s">
        <v>313</v>
      </c>
      <c r="Y114" s="201" t="e">
        <f>I114-'[4]1.RSP Districts '!I114</f>
        <v>#REF!</v>
      </c>
    </row>
    <row r="115" spans="1:25" s="6" customFormat="1" ht="14.25">
      <c r="A115" s="21">
        <v>7</v>
      </c>
      <c r="B115" s="22" t="s">
        <v>105</v>
      </c>
      <c r="C115" s="23">
        <v>55</v>
      </c>
      <c r="D115" s="34">
        <v>50</v>
      </c>
      <c r="E115" s="34">
        <f>'[3]1.RSP Districts '!E115</f>
        <v>50</v>
      </c>
      <c r="F115" s="88">
        <f t="shared" si="19"/>
        <v>0</v>
      </c>
      <c r="G115" s="88">
        <f t="shared" si="20"/>
        <v>90.909090909090907</v>
      </c>
      <c r="H115" s="34">
        <v>492</v>
      </c>
      <c r="I115" s="34">
        <f>'[3]1.RSP Districts '!I115</f>
        <v>492</v>
      </c>
      <c r="J115" s="23">
        <v>208270</v>
      </c>
      <c r="K115" s="23">
        <v>148580</v>
      </c>
      <c r="L115" s="34">
        <f>'[3]1.RSP Districts '!L115</f>
        <v>154878</v>
      </c>
      <c r="M115" s="88">
        <f t="shared" si="21"/>
        <v>4.2387939157356307</v>
      </c>
      <c r="N115" s="88">
        <f t="shared" si="22"/>
        <v>74.364046670187747</v>
      </c>
      <c r="O115" s="23">
        <v>10598</v>
      </c>
      <c r="P115" s="34">
        <f>'[3]1.RSP Districts '!P115</f>
        <v>10921</v>
      </c>
      <c r="Q115" s="88">
        <f t="shared" si="23"/>
        <v>3.0477448575202866</v>
      </c>
      <c r="R115" s="317" t="s">
        <v>5</v>
      </c>
      <c r="S115" s="34" t="str">
        <f>'[3]1.RSP Districts '!S115</f>
        <v>Yes</v>
      </c>
      <c r="T115" s="34">
        <f>'[3]1.RSP Districts '!T115</f>
        <v>2</v>
      </c>
      <c r="U115" s="1">
        <v>1</v>
      </c>
      <c r="V115" s="137"/>
      <c r="Y115" s="201" t="e">
        <f>I115-'[4]1.RSP Districts '!I115</f>
        <v>#REF!</v>
      </c>
    </row>
    <row r="116" spans="1:25" s="6" customFormat="1" ht="14.25">
      <c r="A116" s="21">
        <v>7</v>
      </c>
      <c r="B116" s="22" t="s">
        <v>225</v>
      </c>
      <c r="C116" s="23">
        <v>55</v>
      </c>
      <c r="D116" s="23">
        <v>0</v>
      </c>
      <c r="E116" s="23">
        <f>'[14]1.RSP Districts '!E116</f>
        <v>0</v>
      </c>
      <c r="F116" s="88">
        <v>0</v>
      </c>
      <c r="G116" s="88">
        <f t="shared" si="20"/>
        <v>0</v>
      </c>
      <c r="H116" s="23">
        <v>0</v>
      </c>
      <c r="I116" s="23">
        <f>'[14]1.RSP Districts '!I116</f>
        <v>0</v>
      </c>
      <c r="J116" s="23">
        <v>208270</v>
      </c>
      <c r="K116" s="23">
        <v>20260</v>
      </c>
      <c r="L116" s="23">
        <f>'[14]1.RSP Districts '!L116</f>
        <v>20260</v>
      </c>
      <c r="M116" s="88">
        <f t="shared" si="21"/>
        <v>0</v>
      </c>
      <c r="N116" s="88">
        <f t="shared" si="22"/>
        <v>9.7277572382004145</v>
      </c>
      <c r="O116" s="23">
        <v>1302</v>
      </c>
      <c r="P116" s="23">
        <f>'[14]1.RSP Districts '!P116</f>
        <v>1302</v>
      </c>
      <c r="Q116" s="88">
        <f t="shared" si="23"/>
        <v>0</v>
      </c>
      <c r="R116" s="317" t="s">
        <v>6</v>
      </c>
      <c r="S116" s="23" t="str">
        <f>'[14]1.RSP Districts '!S116</f>
        <v>No</v>
      </c>
      <c r="T116" s="23">
        <f>'[14]1.RSP Districts '!T116</f>
        <v>0</v>
      </c>
      <c r="U116" s="1">
        <v>1</v>
      </c>
      <c r="V116" s="137"/>
    </row>
    <row r="117" spans="1:25" s="6" customFormat="1" ht="14.25">
      <c r="A117" s="21">
        <v>8</v>
      </c>
      <c r="B117" s="22" t="s">
        <v>106</v>
      </c>
      <c r="C117" s="23">
        <v>71</v>
      </c>
      <c r="D117" s="23">
        <v>71</v>
      </c>
      <c r="E117" s="23">
        <f>'[14]1.RSP Districts '!E117</f>
        <v>71</v>
      </c>
      <c r="F117" s="88">
        <f t="shared" si="19"/>
        <v>0</v>
      </c>
      <c r="G117" s="88">
        <f t="shared" si="20"/>
        <v>100</v>
      </c>
      <c r="H117" s="23">
        <v>336</v>
      </c>
      <c r="I117" s="23">
        <f>'[14]1.RSP Districts '!I117</f>
        <v>336</v>
      </c>
      <c r="J117" s="23">
        <v>121639.04761904762</v>
      </c>
      <c r="K117" s="23">
        <v>65190</v>
      </c>
      <c r="L117" s="23">
        <f>'[14]1.RSP Districts '!L117</f>
        <v>67665</v>
      </c>
      <c r="M117" s="88">
        <f t="shared" si="21"/>
        <v>3.7965945697192822</v>
      </c>
      <c r="N117" s="88">
        <f t="shared" si="22"/>
        <v>55.627696306793716</v>
      </c>
      <c r="O117" s="23">
        <v>4333</v>
      </c>
      <c r="P117" s="23">
        <f>'[14]1.RSP Districts '!P117</f>
        <v>4423</v>
      </c>
      <c r="Q117" s="88">
        <f t="shared" si="23"/>
        <v>2.0770828525271177</v>
      </c>
      <c r="R117" s="317" t="s">
        <v>6</v>
      </c>
      <c r="S117" s="23" t="str">
        <f>'[14]1.RSP Districts '!S117</f>
        <v>Yes</v>
      </c>
      <c r="T117" s="23">
        <f>'[14]1.RSP Districts '!T117</f>
        <v>4</v>
      </c>
      <c r="U117" s="1">
        <v>1</v>
      </c>
      <c r="V117" s="137"/>
    </row>
    <row r="118" spans="1:25" s="6" customFormat="1" ht="14.25">
      <c r="A118" s="21">
        <v>9</v>
      </c>
      <c r="B118" s="22" t="s">
        <v>107</v>
      </c>
      <c r="C118" s="23">
        <v>97</v>
      </c>
      <c r="D118" s="23">
        <v>62</v>
      </c>
      <c r="E118" s="23">
        <f>'[14]1.RSP Districts '!E118</f>
        <v>62</v>
      </c>
      <c r="F118" s="88">
        <f t="shared" si="19"/>
        <v>0</v>
      </c>
      <c r="G118" s="88">
        <f t="shared" si="20"/>
        <v>63.917525773195877</v>
      </c>
      <c r="H118" s="23">
        <v>373</v>
      </c>
      <c r="I118" s="23">
        <f>'[14]1.RSP Districts '!I118</f>
        <v>373</v>
      </c>
      <c r="J118" s="23">
        <v>47026</v>
      </c>
      <c r="K118" s="23">
        <v>59349</v>
      </c>
      <c r="L118" s="23">
        <f>'[14]1.RSP Districts '!L118</f>
        <v>61756</v>
      </c>
      <c r="M118" s="88">
        <f t="shared" si="21"/>
        <v>4.0556706936932381</v>
      </c>
      <c r="N118" s="88">
        <f t="shared" si="22"/>
        <v>131.32309786075788</v>
      </c>
      <c r="O118" s="23">
        <v>3314</v>
      </c>
      <c r="P118" s="23">
        <f>'[14]1.RSP Districts '!P118</f>
        <v>3377</v>
      </c>
      <c r="Q118" s="88">
        <f t="shared" si="23"/>
        <v>1.9010259505129752</v>
      </c>
      <c r="R118" s="317" t="s">
        <v>6</v>
      </c>
      <c r="S118" s="23" t="str">
        <f>'[14]1.RSP Districts '!S118</f>
        <v>Yes</v>
      </c>
      <c r="T118" s="23">
        <f>'[14]1.RSP Districts '!T118</f>
        <v>3</v>
      </c>
      <c r="U118" s="1">
        <v>1</v>
      </c>
      <c r="V118" s="137"/>
    </row>
    <row r="119" spans="1:25" s="6" customFormat="1" ht="14.25">
      <c r="A119" s="21">
        <v>9</v>
      </c>
      <c r="B119" s="22" t="s">
        <v>342</v>
      </c>
      <c r="C119" s="23">
        <v>97</v>
      </c>
      <c r="D119" s="23"/>
      <c r="E119" s="34">
        <f>'[3]1.RSP Districts '!E119</f>
        <v>46</v>
      </c>
      <c r="F119" s="88"/>
      <c r="G119" s="88">
        <f t="shared" si="20"/>
        <v>47.422680412371136</v>
      </c>
      <c r="H119" s="34"/>
      <c r="I119" s="34">
        <f>'[3]1.RSP Districts '!I119</f>
        <v>373</v>
      </c>
      <c r="J119" s="34">
        <f>'[3]1.RSP Districts '!J119</f>
        <v>47026</v>
      </c>
      <c r="K119" s="34">
        <f>'[3]1.RSP Districts '!K119</f>
        <v>0</v>
      </c>
      <c r="L119" s="34">
        <f>'[3]1.RSP Districts '!L119</f>
        <v>144</v>
      </c>
      <c r="M119" s="88" t="e">
        <f t="shared" si="21"/>
        <v>#DIV/0!</v>
      </c>
      <c r="N119" s="88">
        <f t="shared" si="22"/>
        <v>0.30621358397482246</v>
      </c>
      <c r="O119" s="23">
        <v>0</v>
      </c>
      <c r="P119" s="34">
        <f>'[3]1.RSP Districts '!P119</f>
        <v>12</v>
      </c>
      <c r="Q119" s="88" t="e">
        <f t="shared" si="23"/>
        <v>#DIV/0!</v>
      </c>
      <c r="R119" s="317" t="s">
        <v>5</v>
      </c>
      <c r="S119" s="34" t="str">
        <f>'[3]1.RSP Districts '!S119</f>
        <v>Yes</v>
      </c>
      <c r="T119" s="34">
        <f>'[3]1.RSP Districts '!T119</f>
        <v>3</v>
      </c>
      <c r="U119" s="1">
        <v>1</v>
      </c>
      <c r="V119" s="137" t="s">
        <v>343</v>
      </c>
    </row>
    <row r="120" spans="1:25" s="6" customFormat="1" ht="14.25">
      <c r="A120" s="21">
        <v>10</v>
      </c>
      <c r="B120" s="22" t="s">
        <v>108</v>
      </c>
      <c r="C120" s="23">
        <v>87</v>
      </c>
      <c r="D120" s="23">
        <v>35</v>
      </c>
      <c r="E120" s="23">
        <f>'[14]1.RSP Districts '!E120</f>
        <v>35</v>
      </c>
      <c r="F120" s="88">
        <f t="shared" si="19"/>
        <v>0</v>
      </c>
      <c r="G120" s="88">
        <f t="shared" si="20"/>
        <v>40.229885057471265</v>
      </c>
      <c r="H120" s="23">
        <v>370</v>
      </c>
      <c r="I120" s="23">
        <f>'[14]1.RSP Districts '!I120</f>
        <v>370</v>
      </c>
      <c r="J120" s="23">
        <v>111973</v>
      </c>
      <c r="K120" s="23">
        <v>52642</v>
      </c>
      <c r="L120" s="23">
        <f>'[14]1.RSP Districts '!L120</f>
        <v>54449</v>
      </c>
      <c r="M120" s="88">
        <f t="shared" si="21"/>
        <v>3.4326203411724481</v>
      </c>
      <c r="N120" s="88">
        <f t="shared" si="22"/>
        <v>48.626901127950489</v>
      </c>
      <c r="O120" s="23">
        <v>3354</v>
      </c>
      <c r="P120" s="23">
        <f>'[14]1.RSP Districts '!P120</f>
        <v>3416</v>
      </c>
      <c r="Q120" s="88">
        <f t="shared" si="23"/>
        <v>1.8485390578413834</v>
      </c>
      <c r="R120" s="317" t="s">
        <v>6</v>
      </c>
      <c r="S120" s="23" t="str">
        <f>'[14]1.RSP Districts '!S120</f>
        <v>Yes</v>
      </c>
      <c r="T120" s="23">
        <f>'[14]1.RSP Districts '!T120</f>
        <v>3</v>
      </c>
      <c r="U120" s="1">
        <v>1</v>
      </c>
      <c r="V120" s="137"/>
    </row>
    <row r="121" spans="1:25" s="6" customFormat="1" ht="14.25">
      <c r="A121" s="21">
        <v>11</v>
      </c>
      <c r="B121" s="22" t="s">
        <v>109</v>
      </c>
      <c r="C121" s="23">
        <v>40</v>
      </c>
      <c r="D121" s="23">
        <v>16</v>
      </c>
      <c r="E121" s="23">
        <f>'[14]1.RSP Districts '!E121</f>
        <v>16</v>
      </c>
      <c r="F121" s="88">
        <f t="shared" si="19"/>
        <v>0</v>
      </c>
      <c r="G121" s="88">
        <f t="shared" si="20"/>
        <v>40</v>
      </c>
      <c r="H121" s="23">
        <v>110</v>
      </c>
      <c r="I121" s="23">
        <f>'[14]1.RSP Districts '!I121</f>
        <v>110</v>
      </c>
      <c r="J121" s="23">
        <v>164715</v>
      </c>
      <c r="K121" s="23">
        <v>31402</v>
      </c>
      <c r="L121" s="23">
        <f>'[14]1.RSP Districts '!L121</f>
        <v>32597</v>
      </c>
      <c r="M121" s="88">
        <f t="shared" si="21"/>
        <v>3.8054900961722185</v>
      </c>
      <c r="N121" s="88">
        <f t="shared" si="22"/>
        <v>19.789940199738943</v>
      </c>
      <c r="O121" s="23">
        <v>1970</v>
      </c>
      <c r="P121" s="23">
        <f>'[14]1.RSP Districts '!P121</f>
        <v>2000</v>
      </c>
      <c r="Q121" s="88">
        <f t="shared" si="23"/>
        <v>1.5228426395939088</v>
      </c>
      <c r="R121" s="317" t="s">
        <v>6</v>
      </c>
      <c r="S121" s="23" t="str">
        <f>'[14]1.RSP Districts '!S121</f>
        <v>Yes</v>
      </c>
      <c r="T121" s="23">
        <f>'[14]1.RSP Districts '!T121</f>
        <v>2</v>
      </c>
      <c r="U121" s="1">
        <v>1</v>
      </c>
      <c r="V121" s="137"/>
    </row>
    <row r="122" spans="1:25" s="6" customFormat="1" ht="14.25">
      <c r="A122" s="21">
        <v>11</v>
      </c>
      <c r="B122" s="22" t="s">
        <v>268</v>
      </c>
      <c r="C122" s="23">
        <v>40</v>
      </c>
      <c r="D122" s="34">
        <v>48</v>
      </c>
      <c r="E122" s="34">
        <f>'[3]1.RSP Districts '!E122</f>
        <v>48</v>
      </c>
      <c r="F122" s="88">
        <f t="shared" ref="F122" si="25">(E122-D122)/D122%</f>
        <v>0</v>
      </c>
      <c r="G122" s="88">
        <f t="shared" ref="G122" si="26">E122/C122%</f>
        <v>120</v>
      </c>
      <c r="H122" s="34">
        <v>184</v>
      </c>
      <c r="I122" s="34">
        <f>'[3]1.RSP Districts '!I122</f>
        <v>184</v>
      </c>
      <c r="J122" s="23">
        <v>164715</v>
      </c>
      <c r="K122" s="23">
        <v>2705</v>
      </c>
      <c r="L122" s="34">
        <f>'[3]1.RSP Districts '!L122</f>
        <v>5113</v>
      </c>
      <c r="M122" s="88">
        <f t="shared" ref="M122" si="27">(L122-K122)/K122%</f>
        <v>89.020332717190385</v>
      </c>
      <c r="N122" s="88">
        <f t="shared" ref="N122" si="28">L122/J122%</f>
        <v>3.1041495917190298</v>
      </c>
      <c r="O122" s="23">
        <v>241</v>
      </c>
      <c r="P122" s="34">
        <f>'[3]1.RSP Districts '!P122</f>
        <v>454</v>
      </c>
      <c r="Q122" s="88">
        <f t="shared" ref="Q122" si="29">(P122-O122)/O122%</f>
        <v>88.38174273858921</v>
      </c>
      <c r="R122" s="317" t="s">
        <v>5</v>
      </c>
      <c r="S122" s="34" t="str">
        <f>'[3]1.RSP Districts '!S122</f>
        <v>Yes</v>
      </c>
      <c r="T122" s="34">
        <f>'[3]1.RSP Districts '!T122</f>
        <v>3</v>
      </c>
      <c r="U122" s="1">
        <v>1</v>
      </c>
      <c r="V122" s="137" t="s">
        <v>269</v>
      </c>
      <c r="Y122" s="201" t="e">
        <f>I122-'[4]1.RSP Districts '!I121</f>
        <v>#REF!</v>
      </c>
    </row>
    <row r="123" spans="1:25" s="6" customFormat="1" ht="14.25">
      <c r="A123" s="21">
        <v>12</v>
      </c>
      <c r="B123" s="22" t="s">
        <v>110</v>
      </c>
      <c r="C123" s="23">
        <v>79</v>
      </c>
      <c r="D123" s="23">
        <v>21</v>
      </c>
      <c r="E123" s="23">
        <f>'[14]1.RSP Districts '!E123</f>
        <v>21</v>
      </c>
      <c r="F123" s="88">
        <f t="shared" si="19"/>
        <v>0</v>
      </c>
      <c r="G123" s="88">
        <f t="shared" si="20"/>
        <v>26.582278481012658</v>
      </c>
      <c r="H123" s="23">
        <v>181</v>
      </c>
      <c r="I123" s="23">
        <f>'[14]1.RSP Districts '!I123</f>
        <v>181</v>
      </c>
      <c r="J123" s="23">
        <v>141671</v>
      </c>
      <c r="K123" s="23">
        <v>30088</v>
      </c>
      <c r="L123" s="23">
        <f>'[14]1.RSP Districts '!L123</f>
        <v>31069</v>
      </c>
      <c r="M123" s="88">
        <f t="shared" si="21"/>
        <v>3.2604360542408934</v>
      </c>
      <c r="N123" s="88">
        <f t="shared" si="22"/>
        <v>21.930388011660821</v>
      </c>
      <c r="O123" s="23">
        <v>2097</v>
      </c>
      <c r="P123" s="23">
        <f>'[14]1.RSP Districts '!P123</f>
        <v>2146</v>
      </c>
      <c r="Q123" s="88">
        <f t="shared" si="23"/>
        <v>2.3366714353838818</v>
      </c>
      <c r="R123" s="317" t="s">
        <v>6</v>
      </c>
      <c r="S123" s="23" t="str">
        <f>'[14]1.RSP Districts '!S123</f>
        <v>Yes</v>
      </c>
      <c r="T123" s="23">
        <f>'[14]1.RSP Districts '!T123</f>
        <v>2</v>
      </c>
      <c r="U123" s="1">
        <v>1</v>
      </c>
      <c r="V123" s="137"/>
    </row>
    <row r="124" spans="1:25" s="6" customFormat="1" ht="14.25">
      <c r="A124" s="21">
        <v>13</v>
      </c>
      <c r="B124" s="22" t="s">
        <v>111</v>
      </c>
      <c r="C124" s="23">
        <v>50</v>
      </c>
      <c r="D124" s="34">
        <v>35</v>
      </c>
      <c r="E124" s="34">
        <f>'[3]1.RSP Districts '!E124</f>
        <v>52</v>
      </c>
      <c r="F124" s="88">
        <f t="shared" si="19"/>
        <v>48.571428571428577</v>
      </c>
      <c r="G124" s="88">
        <f t="shared" si="20"/>
        <v>104</v>
      </c>
      <c r="H124" s="34">
        <v>637</v>
      </c>
      <c r="I124" s="34">
        <f>'[3]1.RSP Districts '!I124</f>
        <v>637</v>
      </c>
      <c r="J124" s="27">
        <v>128408</v>
      </c>
      <c r="K124" s="23">
        <v>42843</v>
      </c>
      <c r="L124" s="34">
        <f>'[3]1.RSP Districts '!L124</f>
        <v>42843</v>
      </c>
      <c r="M124" s="88">
        <f t="shared" si="21"/>
        <v>0</v>
      </c>
      <c r="N124" s="88">
        <f t="shared" si="22"/>
        <v>33.364743629680397</v>
      </c>
      <c r="O124" s="23">
        <v>2446</v>
      </c>
      <c r="P124" s="34">
        <f>'[3]1.RSP Districts '!P124</f>
        <v>2446</v>
      </c>
      <c r="Q124" s="88">
        <f t="shared" si="23"/>
        <v>0</v>
      </c>
      <c r="R124" s="317" t="s">
        <v>5</v>
      </c>
      <c r="S124" s="34" t="str">
        <f>'[3]1.RSP Districts '!S124</f>
        <v>Yes</v>
      </c>
      <c r="T124" s="34">
        <f>'[3]1.RSP Districts '!T124</f>
        <v>3</v>
      </c>
      <c r="U124" s="1">
        <v>1</v>
      </c>
      <c r="V124" s="137"/>
      <c r="Y124" s="201" t="e">
        <f>I124-'[4]1.RSP Districts '!I123</f>
        <v>#REF!</v>
      </c>
    </row>
    <row r="125" spans="1:25" s="6" customFormat="1" ht="14.25">
      <c r="A125" s="21">
        <v>14</v>
      </c>
      <c r="B125" s="22" t="s">
        <v>112</v>
      </c>
      <c r="C125" s="23">
        <v>89</v>
      </c>
      <c r="D125" s="23">
        <v>7</v>
      </c>
      <c r="E125" s="23">
        <f>'[14]1.RSP Districts '!E125</f>
        <v>7</v>
      </c>
      <c r="F125" s="88">
        <f t="shared" si="19"/>
        <v>0</v>
      </c>
      <c r="G125" s="88">
        <f t="shared" si="20"/>
        <v>7.8651685393258424</v>
      </c>
      <c r="H125" s="23">
        <v>20</v>
      </c>
      <c r="I125" s="23">
        <f>'[14]1.RSP Districts '!I125</f>
        <v>20</v>
      </c>
      <c r="J125" s="23">
        <v>122340</v>
      </c>
      <c r="K125" s="23">
        <v>12134</v>
      </c>
      <c r="L125" s="23">
        <f>'[14]1.RSP Districts '!L125</f>
        <v>12549</v>
      </c>
      <c r="M125" s="88">
        <f t="shared" si="21"/>
        <v>3.4201417504532716</v>
      </c>
      <c r="N125" s="88">
        <f t="shared" si="22"/>
        <v>10.257479156449239</v>
      </c>
      <c r="O125" s="23">
        <v>954</v>
      </c>
      <c r="P125" s="23">
        <f>'[14]1.RSP Districts '!P125</f>
        <v>973</v>
      </c>
      <c r="Q125" s="88">
        <f t="shared" si="23"/>
        <v>1.9916142557651992</v>
      </c>
      <c r="R125" s="317" t="s">
        <v>6</v>
      </c>
      <c r="S125" s="23" t="str">
        <f>'[14]1.RSP Districts '!S125</f>
        <v>No</v>
      </c>
      <c r="T125" s="23">
        <f>'[14]1.RSP Districts '!T125</f>
        <v>1</v>
      </c>
      <c r="U125" s="1">
        <v>1</v>
      </c>
      <c r="V125" s="137"/>
    </row>
    <row r="126" spans="1:25" s="6" customFormat="1" ht="14.25">
      <c r="A126" s="21">
        <v>15</v>
      </c>
      <c r="B126" s="22" t="s">
        <v>113</v>
      </c>
      <c r="C126" s="23">
        <v>98</v>
      </c>
      <c r="D126" s="23">
        <v>21</v>
      </c>
      <c r="E126" s="23">
        <f>'[14]1.RSP Districts '!E126</f>
        <v>21</v>
      </c>
      <c r="F126" s="88">
        <f t="shared" si="19"/>
        <v>0</v>
      </c>
      <c r="G126" s="88">
        <f t="shared" si="20"/>
        <v>21.428571428571431</v>
      </c>
      <c r="H126" s="23">
        <v>129</v>
      </c>
      <c r="I126" s="23">
        <f>'[14]1.RSP Districts '!I126</f>
        <v>129</v>
      </c>
      <c r="J126" s="23">
        <v>122340</v>
      </c>
      <c r="K126" s="23">
        <v>29998</v>
      </c>
      <c r="L126" s="23">
        <f>'[14]1.RSP Districts '!L126</f>
        <v>31305</v>
      </c>
      <c r="M126" s="88">
        <f t="shared" si="21"/>
        <v>4.3569571304753651</v>
      </c>
      <c r="N126" s="88">
        <f t="shared" si="22"/>
        <v>25.588523786169688</v>
      </c>
      <c r="O126" s="23">
        <v>1903</v>
      </c>
      <c r="P126" s="23">
        <f>'[14]1.RSP Districts '!P126</f>
        <v>1956</v>
      </c>
      <c r="Q126" s="88">
        <f t="shared" si="23"/>
        <v>2.7850761954808196</v>
      </c>
      <c r="R126" s="317" t="s">
        <v>6</v>
      </c>
      <c r="S126" s="23" t="str">
        <f>'[14]1.RSP Districts '!S126</f>
        <v>Yes</v>
      </c>
      <c r="T126" s="23">
        <f>'[14]1.RSP Districts '!T126</f>
        <v>2</v>
      </c>
      <c r="U126" s="1">
        <v>1</v>
      </c>
      <c r="V126" s="137"/>
    </row>
    <row r="127" spans="1:25" ht="14.25">
      <c r="A127" s="21">
        <v>15</v>
      </c>
      <c r="B127" s="22" t="s">
        <v>114</v>
      </c>
      <c r="C127" s="23">
        <v>98</v>
      </c>
      <c r="D127" s="34">
        <v>70</v>
      </c>
      <c r="E127" s="34">
        <f>'[3]1.RSP Districts '!E127</f>
        <v>70</v>
      </c>
      <c r="F127" s="88">
        <f t="shared" si="19"/>
        <v>0</v>
      </c>
      <c r="G127" s="88">
        <f t="shared" si="20"/>
        <v>71.428571428571431</v>
      </c>
      <c r="H127" s="34">
        <v>305</v>
      </c>
      <c r="I127" s="34">
        <f>'[3]1.RSP Districts '!I127</f>
        <v>305</v>
      </c>
      <c r="J127" s="23">
        <v>78458</v>
      </c>
      <c r="K127" s="23">
        <v>17775</v>
      </c>
      <c r="L127" s="34">
        <f>'[3]1.RSP Districts '!L127</f>
        <v>17775</v>
      </c>
      <c r="M127" s="88">
        <f t="shared" si="21"/>
        <v>0</v>
      </c>
      <c r="N127" s="88">
        <f t="shared" si="22"/>
        <v>22.655433480333425</v>
      </c>
      <c r="O127" s="23">
        <v>1662</v>
      </c>
      <c r="P127" s="34">
        <f>'[3]1.RSP Districts '!P127</f>
        <v>1662</v>
      </c>
      <c r="Q127" s="88">
        <f t="shared" si="23"/>
        <v>0</v>
      </c>
      <c r="R127" s="314" t="s">
        <v>5</v>
      </c>
      <c r="S127" s="34" t="str">
        <f>'[3]1.RSP Districts '!S127</f>
        <v>No</v>
      </c>
      <c r="T127" s="34">
        <f>'[3]1.RSP Districts '!T127</f>
        <v>0</v>
      </c>
      <c r="U127" s="1">
        <v>1</v>
      </c>
      <c r="V127" s="137"/>
      <c r="Y127" s="201" t="e">
        <f>I127-'[4]1.RSP Districts '!I126</f>
        <v>#REF!</v>
      </c>
    </row>
    <row r="128" spans="1:25" s="6" customFormat="1" ht="14.25">
      <c r="A128" s="21">
        <v>16</v>
      </c>
      <c r="B128" s="22" t="s">
        <v>115</v>
      </c>
      <c r="C128" s="23">
        <v>49</v>
      </c>
      <c r="D128" s="34">
        <v>45</v>
      </c>
      <c r="E128" s="34">
        <f>'[3]1.RSP Districts '!E128</f>
        <v>50</v>
      </c>
      <c r="F128" s="88">
        <f t="shared" si="19"/>
        <v>11.111111111111111</v>
      </c>
      <c r="G128" s="88">
        <f t="shared" si="20"/>
        <v>102.04081632653062</v>
      </c>
      <c r="H128" s="34">
        <v>329</v>
      </c>
      <c r="I128" s="34">
        <f>'[3]1.RSP Districts '!I128</f>
        <v>329</v>
      </c>
      <c r="J128" s="27">
        <v>47082</v>
      </c>
      <c r="K128" s="23">
        <v>148171</v>
      </c>
      <c r="L128" s="34">
        <f>'[3]1.RSP Districts '!L128</f>
        <v>148171</v>
      </c>
      <c r="M128" s="88">
        <f t="shared" si="21"/>
        <v>0</v>
      </c>
      <c r="N128" s="88">
        <f t="shared" si="22"/>
        <v>314.70838112229728</v>
      </c>
      <c r="O128" s="23">
        <v>8497</v>
      </c>
      <c r="P128" s="34">
        <f>'[3]1.RSP Districts '!P128</f>
        <v>8497</v>
      </c>
      <c r="Q128" s="88">
        <f t="shared" si="23"/>
        <v>0</v>
      </c>
      <c r="R128" s="317" t="s">
        <v>5</v>
      </c>
      <c r="S128" s="34" t="str">
        <f>'[3]1.RSP Districts '!S128</f>
        <v>Yes</v>
      </c>
      <c r="T128" s="34">
        <f>'[3]1.RSP Districts '!T128</f>
        <v>4</v>
      </c>
      <c r="U128" s="1">
        <v>1</v>
      </c>
      <c r="V128" s="137"/>
      <c r="Y128" s="201" t="e">
        <f>I128-'[4]1.RSP Districts '!I127</f>
        <v>#REF!</v>
      </c>
    </row>
    <row r="129" spans="1:25" s="6" customFormat="1" ht="14.25">
      <c r="A129" s="21">
        <v>17</v>
      </c>
      <c r="B129" s="22" t="s">
        <v>116</v>
      </c>
      <c r="C129" s="23">
        <v>30</v>
      </c>
      <c r="D129" s="23">
        <v>27</v>
      </c>
      <c r="E129" s="23">
        <f>'[14]1.RSP Districts '!E129</f>
        <v>27</v>
      </c>
      <c r="F129" s="88">
        <f t="shared" si="19"/>
        <v>0</v>
      </c>
      <c r="G129" s="88">
        <f t="shared" si="20"/>
        <v>90</v>
      </c>
      <c r="H129" s="23">
        <v>156</v>
      </c>
      <c r="I129" s="23">
        <f>'[14]1.RSP Districts '!I129</f>
        <v>156</v>
      </c>
      <c r="J129" s="23">
        <v>39648</v>
      </c>
      <c r="K129" s="23">
        <v>43777</v>
      </c>
      <c r="L129" s="23">
        <f>'[14]1.RSP Districts '!L129</f>
        <v>45162</v>
      </c>
      <c r="M129" s="88">
        <f t="shared" si="21"/>
        <v>3.1637617927222057</v>
      </c>
      <c r="N129" s="88">
        <f t="shared" si="22"/>
        <v>113.90738498789345</v>
      </c>
      <c r="O129" s="23">
        <v>3032</v>
      </c>
      <c r="P129" s="23">
        <f>'[14]1.RSP Districts '!P129</f>
        <v>3092</v>
      </c>
      <c r="Q129" s="88">
        <f t="shared" si="23"/>
        <v>1.9788918205804749</v>
      </c>
      <c r="R129" s="317" t="s">
        <v>6</v>
      </c>
      <c r="S129" s="23" t="str">
        <f>'[14]1.RSP Districts '!S129</f>
        <v>Yes</v>
      </c>
      <c r="T129" s="23">
        <f>'[14]1.RSP Districts '!T129</f>
        <v>3</v>
      </c>
      <c r="U129" s="1">
        <v>1</v>
      </c>
      <c r="V129" s="137"/>
    </row>
    <row r="130" spans="1:25" s="6" customFormat="1" ht="14.25">
      <c r="A130" s="21">
        <v>18</v>
      </c>
      <c r="B130" s="22" t="s">
        <v>117</v>
      </c>
      <c r="C130" s="23">
        <v>44</v>
      </c>
      <c r="D130" s="23">
        <v>26</v>
      </c>
      <c r="E130" s="23">
        <f>'[14]1.RSP Districts '!E130</f>
        <v>27</v>
      </c>
      <c r="F130" s="88">
        <f t="shared" si="19"/>
        <v>3.8461538461538458</v>
      </c>
      <c r="G130" s="88">
        <f t="shared" si="20"/>
        <v>61.363636363636367</v>
      </c>
      <c r="H130" s="23">
        <v>377</v>
      </c>
      <c r="I130" s="23">
        <f>'[14]1.RSP Districts '!I130</f>
        <v>377</v>
      </c>
      <c r="J130" s="23">
        <v>159486</v>
      </c>
      <c r="K130" s="23">
        <v>128239</v>
      </c>
      <c r="L130" s="23">
        <f>'[14]1.RSP Districts '!L130</f>
        <v>130714</v>
      </c>
      <c r="M130" s="88">
        <f t="shared" si="21"/>
        <v>1.9299900966164738</v>
      </c>
      <c r="N130" s="88">
        <f t="shared" si="22"/>
        <v>81.959545038435976</v>
      </c>
      <c r="O130" s="23">
        <v>8560</v>
      </c>
      <c r="P130" s="23">
        <f>'[14]1.RSP Districts '!P130</f>
        <v>8656</v>
      </c>
      <c r="Q130" s="88">
        <f t="shared" si="23"/>
        <v>1.1214953271028039</v>
      </c>
      <c r="R130" s="317" t="s">
        <v>6</v>
      </c>
      <c r="S130" s="23" t="str">
        <f>'[14]1.RSP Districts '!S130</f>
        <v>Yes</v>
      </c>
      <c r="T130" s="23">
        <f>'[14]1.RSP Districts '!T130</f>
        <v>4</v>
      </c>
      <c r="U130" s="1">
        <v>1</v>
      </c>
      <c r="V130" s="137"/>
    </row>
    <row r="131" spans="1:25" s="6" customFormat="1" ht="14.25">
      <c r="A131" s="21">
        <v>18</v>
      </c>
      <c r="B131" s="22" t="s">
        <v>318</v>
      </c>
      <c r="C131" s="23">
        <v>44</v>
      </c>
      <c r="D131" s="23">
        <v>0</v>
      </c>
      <c r="E131" s="34">
        <f>'[3]1.RSP Districts '!E131</f>
        <v>0</v>
      </c>
      <c r="F131" s="88"/>
      <c r="G131" s="88">
        <f t="shared" ref="G131" si="30">E131/C131%</f>
        <v>0</v>
      </c>
      <c r="H131" s="34">
        <f>'[3]1.RSP Districts '!H131</f>
        <v>0</v>
      </c>
      <c r="I131" s="34">
        <f>'[3]1.RSP Districts '!I131</f>
        <v>0</v>
      </c>
      <c r="J131" s="23">
        <v>159486</v>
      </c>
      <c r="K131" s="23">
        <v>5651</v>
      </c>
      <c r="L131" s="34">
        <f>'[3]1.RSP Districts '!L131</f>
        <v>5983</v>
      </c>
      <c r="M131" s="88">
        <f t="shared" ref="M131" si="31">(L131-K131)/K131%</f>
        <v>5.8750663599362944</v>
      </c>
      <c r="N131" s="88">
        <f t="shared" ref="N131" si="32">L131/J131%</f>
        <v>3.751426457494702</v>
      </c>
      <c r="O131" s="23">
        <v>338</v>
      </c>
      <c r="P131" s="34">
        <f>'[3]1.RSP Districts '!P131</f>
        <v>364</v>
      </c>
      <c r="Q131" s="88">
        <f t="shared" ref="Q131" si="33">(P131-O131)/O131%</f>
        <v>7.6923076923076925</v>
      </c>
      <c r="R131" s="317" t="s">
        <v>5</v>
      </c>
      <c r="S131" s="34" t="str">
        <f>'[3]1.RSP Districts '!S131</f>
        <v>No</v>
      </c>
      <c r="T131" s="34">
        <f>'[3]1.RSP Districts '!T131</f>
        <v>1</v>
      </c>
      <c r="U131" s="1">
        <v>1</v>
      </c>
      <c r="V131" s="137" t="s">
        <v>319</v>
      </c>
    </row>
    <row r="132" spans="1:25" s="6" customFormat="1" ht="14.25">
      <c r="A132" s="21">
        <v>19</v>
      </c>
      <c r="B132" s="22" t="s">
        <v>118</v>
      </c>
      <c r="C132" s="23">
        <v>70</v>
      </c>
      <c r="D132" s="34">
        <v>70</v>
      </c>
      <c r="E132" s="34">
        <f>'[3]1.RSP Districts '!E132</f>
        <v>70</v>
      </c>
      <c r="F132" s="88">
        <f t="shared" si="19"/>
        <v>0</v>
      </c>
      <c r="G132" s="88">
        <f t="shared" si="20"/>
        <v>100</v>
      </c>
      <c r="H132" s="34">
        <v>386</v>
      </c>
      <c r="I132" s="34">
        <f>'[3]1.RSP Districts '!I132</f>
        <v>386</v>
      </c>
      <c r="J132" s="27">
        <v>202554</v>
      </c>
      <c r="K132" s="23">
        <v>46705</v>
      </c>
      <c r="L132" s="34">
        <f>'[3]1.RSP Districts '!L132</f>
        <v>46705</v>
      </c>
      <c r="M132" s="88">
        <f t="shared" si="21"/>
        <v>0</v>
      </c>
      <c r="N132" s="88">
        <f t="shared" si="22"/>
        <v>23.058048717872765</v>
      </c>
      <c r="O132" s="23">
        <v>3886</v>
      </c>
      <c r="P132" s="34">
        <f>'[3]1.RSP Districts '!P132</f>
        <v>3886</v>
      </c>
      <c r="Q132" s="88">
        <f t="shared" si="23"/>
        <v>0</v>
      </c>
      <c r="R132" s="317" t="s">
        <v>5</v>
      </c>
      <c r="S132" s="34" t="str">
        <f>'[3]1.RSP Districts '!S132</f>
        <v>No</v>
      </c>
      <c r="T132" s="34">
        <f>'[3]1.RSP Districts '!T132</f>
        <v>0</v>
      </c>
      <c r="U132" s="1">
        <v>1</v>
      </c>
      <c r="V132" s="137"/>
      <c r="Y132" s="201" t="e">
        <f>I132-'[4]1.RSP Districts '!I130</f>
        <v>#REF!</v>
      </c>
    </row>
    <row r="133" spans="1:25" s="6" customFormat="1" ht="14.25">
      <c r="A133" s="21">
        <v>19</v>
      </c>
      <c r="B133" s="22" t="s">
        <v>218</v>
      </c>
      <c r="C133" s="23">
        <v>70</v>
      </c>
      <c r="D133" s="23">
        <v>6</v>
      </c>
      <c r="E133" s="23">
        <f>'[14]1.RSP Districts '!E133</f>
        <v>9</v>
      </c>
      <c r="F133" s="88">
        <f t="shared" si="19"/>
        <v>50</v>
      </c>
      <c r="G133" s="88">
        <f t="shared" si="20"/>
        <v>12.857142857142858</v>
      </c>
      <c r="H133" s="23">
        <v>18</v>
      </c>
      <c r="I133" s="23">
        <f>'[14]1.RSP Districts '!I133</f>
        <v>36</v>
      </c>
      <c r="J133" s="27">
        <v>202554</v>
      </c>
      <c r="K133" s="23">
        <v>7638</v>
      </c>
      <c r="L133" s="23">
        <f>'[14]1.RSP Districts '!L133</f>
        <v>9147</v>
      </c>
      <c r="M133" s="88">
        <f t="shared" si="21"/>
        <v>19.756480754124116</v>
      </c>
      <c r="N133" s="88">
        <f t="shared" si="22"/>
        <v>4.5158328149530496</v>
      </c>
      <c r="O133" s="23">
        <v>562</v>
      </c>
      <c r="P133" s="23">
        <f>'[14]1.RSP Districts '!P133</f>
        <v>627</v>
      </c>
      <c r="Q133" s="88">
        <f t="shared" si="23"/>
        <v>11.565836298932384</v>
      </c>
      <c r="R133" s="317" t="s">
        <v>6</v>
      </c>
      <c r="S133" s="23" t="str">
        <f>'[14]1.RSP Districts '!S133</f>
        <v>Yes</v>
      </c>
      <c r="T133" s="23">
        <f>'[14]1.RSP Districts '!T133</f>
        <v>2</v>
      </c>
      <c r="U133" s="1">
        <v>1</v>
      </c>
      <c r="V133" s="137"/>
    </row>
    <row r="134" spans="1:25" s="6" customFormat="1" ht="14.25">
      <c r="A134" s="21">
        <v>20</v>
      </c>
      <c r="B134" s="22" t="s">
        <v>119</v>
      </c>
      <c r="C134" s="23">
        <v>65</v>
      </c>
      <c r="D134" s="23">
        <v>53</v>
      </c>
      <c r="E134" s="23">
        <f>'[14]1.RSP Districts '!E134</f>
        <v>53</v>
      </c>
      <c r="F134" s="88">
        <f t="shared" si="19"/>
        <v>0</v>
      </c>
      <c r="G134" s="88">
        <f t="shared" si="20"/>
        <v>81.538461538461533</v>
      </c>
      <c r="H134" s="23">
        <v>244</v>
      </c>
      <c r="I134" s="23">
        <f>'[14]1.RSP Districts '!I134</f>
        <v>244</v>
      </c>
      <c r="J134" s="23">
        <v>106515</v>
      </c>
      <c r="K134" s="23">
        <v>38916</v>
      </c>
      <c r="L134" s="23">
        <f>'[14]1.RSP Districts '!L134</f>
        <v>40125</v>
      </c>
      <c r="M134" s="88">
        <f t="shared" si="21"/>
        <v>3.1066913351834717</v>
      </c>
      <c r="N134" s="88">
        <f t="shared" si="22"/>
        <v>37.670750598507247</v>
      </c>
      <c r="O134" s="23">
        <v>2555</v>
      </c>
      <c r="P134" s="23">
        <f>'[14]1.RSP Districts '!P134</f>
        <v>2598</v>
      </c>
      <c r="Q134" s="88">
        <f t="shared" si="23"/>
        <v>1.6829745596868884</v>
      </c>
      <c r="R134" s="317" t="s">
        <v>6</v>
      </c>
      <c r="S134" s="23" t="str">
        <f>'[14]1.RSP Districts '!S134</f>
        <v>No</v>
      </c>
      <c r="T134" s="23">
        <f>'[14]1.RSP Districts '!T134</f>
        <v>3</v>
      </c>
      <c r="U134" s="1">
        <v>1</v>
      </c>
      <c r="V134" s="137"/>
    </row>
    <row r="135" spans="1:25" s="6" customFormat="1" ht="14.25">
      <c r="A135" s="21">
        <v>20</v>
      </c>
      <c r="B135" s="22" t="s">
        <v>245</v>
      </c>
      <c r="C135" s="23">
        <v>65</v>
      </c>
      <c r="D135" s="34">
        <v>9</v>
      </c>
      <c r="E135" s="34">
        <f>'[3]1.RSP Districts '!E135</f>
        <v>9</v>
      </c>
      <c r="F135" s="88">
        <f t="shared" ref="F135" si="34">(E135-D135)/D135%</f>
        <v>0</v>
      </c>
      <c r="G135" s="88">
        <f t="shared" ref="G135" si="35">E135/C135%</f>
        <v>13.846153846153845</v>
      </c>
      <c r="H135" s="34">
        <v>21</v>
      </c>
      <c r="I135" s="34">
        <f>'[3]1.RSP Districts '!I135</f>
        <v>21</v>
      </c>
      <c r="J135" s="23">
        <v>106515</v>
      </c>
      <c r="K135" s="23">
        <v>414</v>
      </c>
      <c r="L135" s="34">
        <f>'[3]1.RSP Districts '!L135</f>
        <v>414</v>
      </c>
      <c r="M135" s="88">
        <f t="shared" ref="M135" si="36">(L135-K135)/K135%</f>
        <v>0</v>
      </c>
      <c r="N135" s="88">
        <f t="shared" ref="N135" si="37">L135/J135%</f>
        <v>0.38867765103506546</v>
      </c>
      <c r="O135" s="23">
        <v>35</v>
      </c>
      <c r="P135" s="34">
        <f>'[3]1.RSP Districts '!P135</f>
        <v>35</v>
      </c>
      <c r="Q135" s="88">
        <f t="shared" ref="Q135" si="38">(P135-O135)/O135%</f>
        <v>0</v>
      </c>
      <c r="R135" s="317" t="s">
        <v>5</v>
      </c>
      <c r="S135" s="34" t="str">
        <f>'[3]1.RSP Districts '!S135</f>
        <v>Yes</v>
      </c>
      <c r="T135" s="34">
        <f>'[3]1.RSP Districts '!T135</f>
        <v>4</v>
      </c>
      <c r="U135" s="1">
        <v>1</v>
      </c>
      <c r="V135" s="137" t="s">
        <v>246</v>
      </c>
      <c r="Y135" s="201" t="e">
        <f>I135-'[4]1.RSP Districts '!I133</f>
        <v>#REF!</v>
      </c>
    </row>
    <row r="136" spans="1:25" s="6" customFormat="1" ht="14.25">
      <c r="A136" s="21">
        <v>21</v>
      </c>
      <c r="B136" s="22" t="s">
        <v>120</v>
      </c>
      <c r="C136" s="23">
        <v>53</v>
      </c>
      <c r="D136" s="34">
        <v>56</v>
      </c>
      <c r="E136" s="34">
        <f>'[3]1.RSP Districts '!E136</f>
        <v>56</v>
      </c>
      <c r="F136" s="88">
        <f t="shared" si="19"/>
        <v>0</v>
      </c>
      <c r="G136" s="88">
        <f t="shared" si="20"/>
        <v>105.66037735849056</v>
      </c>
      <c r="H136" s="34">
        <v>228</v>
      </c>
      <c r="I136" s="34">
        <f>'[3]1.RSP Districts '!I136</f>
        <v>228</v>
      </c>
      <c r="J136" s="27">
        <v>120486</v>
      </c>
      <c r="K136" s="23">
        <v>89501</v>
      </c>
      <c r="L136" s="34">
        <f>'[3]1.RSP Districts '!L136</f>
        <v>90461</v>
      </c>
      <c r="M136" s="88">
        <f t="shared" si="21"/>
        <v>1.0726137138132534</v>
      </c>
      <c r="N136" s="88">
        <f t="shared" si="22"/>
        <v>75.080092292880508</v>
      </c>
      <c r="O136" s="23">
        <v>5136</v>
      </c>
      <c r="P136" s="34">
        <f>'[3]1.RSP Districts '!P136</f>
        <v>5216</v>
      </c>
      <c r="Q136" s="88">
        <f t="shared" si="23"/>
        <v>1.557632398753894</v>
      </c>
      <c r="R136" s="317" t="s">
        <v>5</v>
      </c>
      <c r="S136" s="34" t="str">
        <f>'[3]1.RSP Districts '!S136</f>
        <v>Yes</v>
      </c>
      <c r="T136" s="34">
        <f>'[3]1.RSP Districts '!T136</f>
        <v>4</v>
      </c>
      <c r="U136" s="1">
        <v>1</v>
      </c>
      <c r="V136" s="137"/>
      <c r="Y136" s="201" t="e">
        <f>I136-'[4]1.RSP Districts '!I134</f>
        <v>#REF!</v>
      </c>
    </row>
    <row r="137" spans="1:25" s="6" customFormat="1" ht="14.25">
      <c r="A137" s="21">
        <v>22</v>
      </c>
      <c r="B137" s="22" t="s">
        <v>121</v>
      </c>
      <c r="C137" s="23">
        <v>69</v>
      </c>
      <c r="D137" s="23">
        <v>22</v>
      </c>
      <c r="E137" s="23">
        <f>'[14]1.RSP Districts '!E137</f>
        <v>22</v>
      </c>
      <c r="F137" s="88">
        <f t="shared" si="19"/>
        <v>0</v>
      </c>
      <c r="G137" s="88">
        <f t="shared" si="20"/>
        <v>31.884057971014496</v>
      </c>
      <c r="H137" s="23">
        <v>148</v>
      </c>
      <c r="I137" s="23">
        <f>'[14]1.RSP Districts '!I137</f>
        <v>148</v>
      </c>
      <c r="J137" s="23">
        <v>261678</v>
      </c>
      <c r="K137" s="23">
        <v>35212</v>
      </c>
      <c r="L137" s="23">
        <f>'[14]1.RSP Districts '!L137</f>
        <v>35212</v>
      </c>
      <c r="M137" s="88">
        <f t="shared" si="21"/>
        <v>0</v>
      </c>
      <c r="N137" s="88">
        <f t="shared" si="22"/>
        <v>13.456232468912173</v>
      </c>
      <c r="O137" s="23">
        <v>2382</v>
      </c>
      <c r="P137" s="23">
        <f>'[14]1.RSP Districts '!P137</f>
        <v>2382</v>
      </c>
      <c r="Q137" s="88">
        <f t="shared" si="23"/>
        <v>0</v>
      </c>
      <c r="R137" s="317" t="s">
        <v>6</v>
      </c>
      <c r="S137" s="23" t="str">
        <f>'[14]1.RSP Districts '!S137</f>
        <v>No</v>
      </c>
      <c r="T137" s="23">
        <f>'[14]1.RSP Districts '!T137</f>
        <v>0</v>
      </c>
      <c r="U137" s="1">
        <v>1</v>
      </c>
      <c r="V137" s="137"/>
    </row>
    <row r="138" spans="1:25" ht="14.25">
      <c r="A138" s="21">
        <v>22</v>
      </c>
      <c r="B138" s="22" t="s">
        <v>122</v>
      </c>
      <c r="C138" s="23">
        <v>69</v>
      </c>
      <c r="D138" s="34">
        <v>58</v>
      </c>
      <c r="E138" s="34">
        <f>'[3]1.RSP Districts '!E138</f>
        <v>58</v>
      </c>
      <c r="F138" s="88">
        <f t="shared" si="19"/>
        <v>0</v>
      </c>
      <c r="G138" s="88">
        <f t="shared" si="20"/>
        <v>84.057971014492765</v>
      </c>
      <c r="H138" s="34">
        <v>169</v>
      </c>
      <c r="I138" s="34">
        <f>'[3]1.RSP Districts '!I138</f>
        <v>169</v>
      </c>
      <c r="J138" s="23">
        <v>261678</v>
      </c>
      <c r="K138" s="23">
        <v>17654</v>
      </c>
      <c r="L138" s="34">
        <f>'[3]1.RSP Districts '!L138</f>
        <v>17654</v>
      </c>
      <c r="M138" s="88">
        <f t="shared" si="21"/>
        <v>0</v>
      </c>
      <c r="N138" s="88">
        <f t="shared" si="22"/>
        <v>6.7464593890200932</v>
      </c>
      <c r="O138" s="23">
        <v>1958</v>
      </c>
      <c r="P138" s="34">
        <f>'[3]1.RSP Districts '!P138</f>
        <v>1958</v>
      </c>
      <c r="Q138" s="88">
        <f t="shared" si="23"/>
        <v>0</v>
      </c>
      <c r="R138" s="314" t="s">
        <v>5</v>
      </c>
      <c r="S138" s="34" t="str">
        <f>'[3]1.RSP Districts '!S138</f>
        <v>No</v>
      </c>
      <c r="T138" s="34">
        <f>'[3]1.RSP Districts '!T138</f>
        <v>0</v>
      </c>
      <c r="U138" s="1">
        <v>1</v>
      </c>
      <c r="V138" s="137"/>
      <c r="Y138" s="201" t="e">
        <f>I138-'[4]1.RSP Districts '!I136</f>
        <v>#REF!</v>
      </c>
    </row>
    <row r="139" spans="1:25" s="6" customFormat="1" ht="14.25">
      <c r="A139" s="21">
        <v>23</v>
      </c>
      <c r="B139" s="22" t="s">
        <v>123</v>
      </c>
      <c r="C139" s="23">
        <v>93</v>
      </c>
      <c r="D139" s="23">
        <v>24</v>
      </c>
      <c r="E139" s="23">
        <f>'[14]1.RSP Districts '!E139</f>
        <v>24</v>
      </c>
      <c r="F139" s="88">
        <f t="shared" si="19"/>
        <v>0</v>
      </c>
      <c r="G139" s="88">
        <f t="shared" si="20"/>
        <v>25.806451612903224</v>
      </c>
      <c r="H139" s="23">
        <v>277</v>
      </c>
      <c r="I139" s="23">
        <f>'[14]1.RSP Districts '!I139</f>
        <v>277</v>
      </c>
      <c r="J139" s="23">
        <v>317647</v>
      </c>
      <c r="K139" s="23">
        <v>153890</v>
      </c>
      <c r="L139" s="23">
        <f>'[14]1.RSP Districts '!L139</f>
        <v>155941</v>
      </c>
      <c r="M139" s="88">
        <f t="shared" si="21"/>
        <v>1.3327701605042561</v>
      </c>
      <c r="N139" s="88">
        <f t="shared" si="22"/>
        <v>49.092546128249289</v>
      </c>
      <c r="O139" s="23">
        <v>9410</v>
      </c>
      <c r="P139" s="23">
        <f>'[14]1.RSP Districts '!P139</f>
        <v>9494</v>
      </c>
      <c r="Q139" s="88">
        <f t="shared" si="23"/>
        <v>0.89266737513283745</v>
      </c>
      <c r="R139" s="317" t="s">
        <v>6</v>
      </c>
      <c r="S139" s="23" t="str">
        <f>'[14]1.RSP Districts '!S139</f>
        <v>Yes</v>
      </c>
      <c r="T139" s="23">
        <f>'[14]1.RSP Districts '!T139</f>
        <v>3</v>
      </c>
      <c r="U139" s="1">
        <v>1</v>
      </c>
      <c r="V139" s="137"/>
    </row>
    <row r="140" spans="1:25" ht="14.25">
      <c r="A140" s="21">
        <v>23</v>
      </c>
      <c r="B140" s="22" t="s">
        <v>124</v>
      </c>
      <c r="C140" s="23">
        <v>93</v>
      </c>
      <c r="D140" s="34">
        <v>24</v>
      </c>
      <c r="E140" s="34">
        <f>'[3]1.RSP Districts '!E140</f>
        <v>24</v>
      </c>
      <c r="F140" s="88">
        <f t="shared" si="19"/>
        <v>0</v>
      </c>
      <c r="G140" s="88">
        <f t="shared" si="20"/>
        <v>25.806451612903224</v>
      </c>
      <c r="H140" s="34">
        <f>'[3]1.RSP Districts '!H140</f>
        <v>0</v>
      </c>
      <c r="I140" s="34">
        <f>'[3]1.RSP Districts '!I140</f>
        <v>0</v>
      </c>
      <c r="J140" s="23">
        <v>317647</v>
      </c>
      <c r="K140" s="34">
        <f>'[3]1.RSP Districts '!K140</f>
        <v>0</v>
      </c>
      <c r="L140" s="34">
        <f>'[3]1.RSP Districts '!L140</f>
        <v>0</v>
      </c>
      <c r="M140" s="88">
        <v>0</v>
      </c>
      <c r="N140" s="88">
        <f t="shared" si="22"/>
        <v>0</v>
      </c>
      <c r="O140" s="34">
        <f>'[3]1.RSP Districts '!O140</f>
        <v>0</v>
      </c>
      <c r="P140" s="34">
        <f>'[3]1.RSP Districts '!P140</f>
        <v>0</v>
      </c>
      <c r="Q140" s="88">
        <v>0</v>
      </c>
      <c r="R140" s="314" t="s">
        <v>5</v>
      </c>
      <c r="S140" s="34" t="str">
        <f>'[3]1.RSP Districts '!S140</f>
        <v>No</v>
      </c>
      <c r="T140" s="34">
        <f>'[3]1.RSP Districts '!T140</f>
        <v>3</v>
      </c>
      <c r="U140" s="1">
        <v>1</v>
      </c>
      <c r="V140" s="137"/>
      <c r="Y140" s="201" t="e">
        <f>I140-'[4]1.RSP Districts '!I138</f>
        <v>#REF!</v>
      </c>
    </row>
    <row r="141" spans="1:25" ht="14.25">
      <c r="A141" s="21">
        <v>24</v>
      </c>
      <c r="B141" s="22" t="s">
        <v>226</v>
      </c>
      <c r="C141" s="23">
        <v>65</v>
      </c>
      <c r="D141" s="23">
        <v>0</v>
      </c>
      <c r="E141" s="23">
        <f>'[14]1.RSP Districts '!E141</f>
        <v>0</v>
      </c>
      <c r="F141" s="88">
        <v>0</v>
      </c>
      <c r="G141" s="88">
        <f t="shared" si="20"/>
        <v>0</v>
      </c>
      <c r="H141" s="23">
        <v>229</v>
      </c>
      <c r="I141" s="23">
        <f>'[14]1.RSP Districts '!I141</f>
        <v>229</v>
      </c>
      <c r="J141" s="23">
        <v>187137</v>
      </c>
      <c r="K141" s="23">
        <v>695</v>
      </c>
      <c r="L141" s="23">
        <f>'[14]1.RSP Districts '!L141</f>
        <v>695</v>
      </c>
      <c r="M141" s="88">
        <f t="shared" si="21"/>
        <v>0</v>
      </c>
      <c r="N141" s="88">
        <f t="shared" si="22"/>
        <v>0.37138566932247502</v>
      </c>
      <c r="O141" s="23">
        <v>45</v>
      </c>
      <c r="P141" s="23">
        <f>'[14]1.RSP Districts '!P141</f>
        <v>45</v>
      </c>
      <c r="Q141" s="88">
        <f t="shared" si="23"/>
        <v>0</v>
      </c>
      <c r="R141" s="24" t="s">
        <v>6</v>
      </c>
      <c r="S141" s="23" t="str">
        <f>'[14]1.RSP Districts '!S141</f>
        <v>No</v>
      </c>
      <c r="T141" s="23">
        <f>'[14]1.RSP Districts '!T141</f>
        <v>0</v>
      </c>
      <c r="U141" s="1">
        <v>1</v>
      </c>
      <c r="V141" s="137"/>
    </row>
    <row r="142" spans="1:25" s="6" customFormat="1" ht="14.25">
      <c r="A142" s="21">
        <v>25</v>
      </c>
      <c r="B142" s="22" t="s">
        <v>125</v>
      </c>
      <c r="C142" s="23">
        <v>74</v>
      </c>
      <c r="D142" s="23">
        <v>61</v>
      </c>
      <c r="E142" s="23">
        <f>'[14]1.RSP Districts '!E142</f>
        <v>61</v>
      </c>
      <c r="F142" s="88">
        <f t="shared" si="19"/>
        <v>0</v>
      </c>
      <c r="G142" s="88">
        <f t="shared" si="20"/>
        <v>82.432432432432435</v>
      </c>
      <c r="H142" s="23">
        <v>554</v>
      </c>
      <c r="I142" s="23">
        <f>'[14]1.RSP Districts '!I142</f>
        <v>554</v>
      </c>
      <c r="J142" s="23">
        <v>150406</v>
      </c>
      <c r="K142" s="23">
        <v>124666</v>
      </c>
      <c r="L142" s="23">
        <f>'[14]1.RSP Districts '!L142</f>
        <v>128973</v>
      </c>
      <c r="M142" s="88">
        <f t="shared" si="21"/>
        <v>3.454831309258338</v>
      </c>
      <c r="N142" s="88">
        <f t="shared" si="22"/>
        <v>85.749903594271515</v>
      </c>
      <c r="O142" s="23">
        <v>5995</v>
      </c>
      <c r="P142" s="23">
        <f>'[14]1.RSP Districts '!P142</f>
        <v>6108</v>
      </c>
      <c r="Q142" s="88">
        <f t="shared" si="23"/>
        <v>1.884904086738949</v>
      </c>
      <c r="R142" s="317" t="s">
        <v>6</v>
      </c>
      <c r="S142" s="23" t="str">
        <f>'[14]1.RSP Districts '!S142</f>
        <v>Yes</v>
      </c>
      <c r="T142" s="23">
        <f>'[14]1.RSP Districts '!T142</f>
        <v>5</v>
      </c>
      <c r="U142" s="1">
        <v>1</v>
      </c>
      <c r="V142" s="137"/>
    </row>
    <row r="143" spans="1:25" s="6" customFormat="1" ht="14.25">
      <c r="A143" s="21">
        <v>26</v>
      </c>
      <c r="B143" s="22" t="s">
        <v>126</v>
      </c>
      <c r="C143" s="23">
        <v>111</v>
      </c>
      <c r="D143" s="23">
        <v>27</v>
      </c>
      <c r="E143" s="23">
        <f>'[14]1.RSP Districts '!E143</f>
        <v>27</v>
      </c>
      <c r="F143" s="88">
        <f t="shared" si="19"/>
        <v>0</v>
      </c>
      <c r="G143" s="88">
        <f t="shared" si="20"/>
        <v>24.324324324324323</v>
      </c>
      <c r="H143" s="23">
        <v>229</v>
      </c>
      <c r="I143" s="23">
        <f>'[14]1.RSP Districts '!I143</f>
        <v>229</v>
      </c>
      <c r="J143" s="23">
        <v>270191</v>
      </c>
      <c r="K143" s="23">
        <v>38189</v>
      </c>
      <c r="L143" s="23">
        <f>'[14]1.RSP Districts '!L143</f>
        <v>40521</v>
      </c>
      <c r="M143" s="88">
        <f t="shared" si="21"/>
        <v>6.1064704496059079</v>
      </c>
      <c r="N143" s="88">
        <f t="shared" si="22"/>
        <v>14.997168669570787</v>
      </c>
      <c r="O143" s="23">
        <v>2607</v>
      </c>
      <c r="P143" s="23">
        <f>'[14]1.RSP Districts '!P143</f>
        <v>2680</v>
      </c>
      <c r="Q143" s="88">
        <f t="shared" si="23"/>
        <v>2.8001534330648252</v>
      </c>
      <c r="R143" s="317" t="s">
        <v>6</v>
      </c>
      <c r="S143" s="23" t="str">
        <f>'[14]1.RSP Districts '!S143</f>
        <v>Yes</v>
      </c>
      <c r="T143" s="23">
        <f>'[14]1.RSP Districts '!T143</f>
        <v>3</v>
      </c>
      <c r="U143" s="1">
        <v>1</v>
      </c>
      <c r="V143" s="137"/>
    </row>
    <row r="144" spans="1:25" s="6" customFormat="1" ht="14.25">
      <c r="A144" s="21">
        <v>27</v>
      </c>
      <c r="B144" s="22" t="s">
        <v>127</v>
      </c>
      <c r="C144" s="23">
        <v>63</v>
      </c>
      <c r="D144" s="23">
        <v>20</v>
      </c>
      <c r="E144" s="23">
        <f>'[14]1.RSP Districts '!E144</f>
        <v>20</v>
      </c>
      <c r="F144" s="88">
        <f t="shared" si="19"/>
        <v>0</v>
      </c>
      <c r="G144" s="88">
        <f t="shared" si="20"/>
        <v>31.746031746031747</v>
      </c>
      <c r="H144" s="23">
        <v>174</v>
      </c>
      <c r="I144" s="23">
        <f>'[14]1.RSP Districts '!I144</f>
        <v>174</v>
      </c>
      <c r="J144" s="23">
        <v>174888</v>
      </c>
      <c r="K144" s="23">
        <v>26506</v>
      </c>
      <c r="L144" s="23">
        <f>'[14]1.RSP Districts '!L144</f>
        <v>27753</v>
      </c>
      <c r="M144" s="88">
        <f t="shared" si="21"/>
        <v>4.7045951859956237</v>
      </c>
      <c r="N144" s="88">
        <f t="shared" si="22"/>
        <v>15.869013311376422</v>
      </c>
      <c r="O144" s="23">
        <v>1774</v>
      </c>
      <c r="P144" s="23">
        <f>'[14]1.RSP Districts '!P144</f>
        <v>1833</v>
      </c>
      <c r="Q144" s="88">
        <f t="shared" si="23"/>
        <v>3.3258173618940252</v>
      </c>
      <c r="R144" s="317" t="s">
        <v>6</v>
      </c>
      <c r="S144" s="23" t="str">
        <f>'[14]1.RSP Districts '!S144</f>
        <v>Yes</v>
      </c>
      <c r="T144" s="23">
        <f>'[14]1.RSP Districts '!T144</f>
        <v>2</v>
      </c>
      <c r="U144" s="1">
        <v>1</v>
      </c>
      <c r="V144" s="137"/>
    </row>
    <row r="145" spans="1:25" ht="14.25">
      <c r="A145" s="21">
        <v>27</v>
      </c>
      <c r="B145" s="22" t="s">
        <v>128</v>
      </c>
      <c r="C145" s="23">
        <v>63</v>
      </c>
      <c r="D145" s="34">
        <v>54</v>
      </c>
      <c r="E145" s="34">
        <f>'[3]1.RSP Districts '!E145</f>
        <v>54</v>
      </c>
      <c r="F145" s="88">
        <f t="shared" si="19"/>
        <v>0</v>
      </c>
      <c r="G145" s="88">
        <f t="shared" si="20"/>
        <v>85.714285714285708</v>
      </c>
      <c r="H145" s="34">
        <v>291</v>
      </c>
      <c r="I145" s="34">
        <f>'[3]1.RSP Districts '!I145</f>
        <v>291</v>
      </c>
      <c r="J145" s="23">
        <v>174888</v>
      </c>
      <c r="K145" s="23">
        <v>12295</v>
      </c>
      <c r="L145" s="34">
        <f>'[3]1.RSP Districts '!L145</f>
        <v>12295</v>
      </c>
      <c r="M145" s="88">
        <f t="shared" si="21"/>
        <v>0</v>
      </c>
      <c r="N145" s="88">
        <f t="shared" si="22"/>
        <v>7.0302136224326421</v>
      </c>
      <c r="O145" s="23">
        <v>1486</v>
      </c>
      <c r="P145" s="34">
        <f>'[3]1.RSP Districts '!P145</f>
        <v>1486</v>
      </c>
      <c r="Q145" s="88">
        <f t="shared" si="23"/>
        <v>0</v>
      </c>
      <c r="R145" s="314" t="s">
        <v>5</v>
      </c>
      <c r="S145" s="34" t="str">
        <f>'[3]1.RSP Districts '!S145</f>
        <v>No</v>
      </c>
      <c r="T145" s="34">
        <f>'[3]1.RSP Districts '!T145</f>
        <v>0</v>
      </c>
      <c r="U145" s="1">
        <v>1</v>
      </c>
      <c r="V145" s="137"/>
      <c r="Y145" s="201" t="e">
        <f>I145-'[4]1.RSP Districts '!I143</f>
        <v>#REF!</v>
      </c>
    </row>
    <row r="146" spans="1:25" s="6" customFormat="1" ht="14.25">
      <c r="A146" s="21">
        <v>28</v>
      </c>
      <c r="B146" s="22" t="s">
        <v>129</v>
      </c>
      <c r="C146" s="23">
        <v>103</v>
      </c>
      <c r="D146" s="34">
        <v>103</v>
      </c>
      <c r="E146" s="34">
        <f>'[3]1.RSP Districts '!E146</f>
        <v>103</v>
      </c>
      <c r="F146" s="88">
        <f t="shared" si="19"/>
        <v>0</v>
      </c>
      <c r="G146" s="88">
        <f t="shared" si="20"/>
        <v>100</v>
      </c>
      <c r="H146" s="34">
        <v>474</v>
      </c>
      <c r="I146" s="34">
        <f>'[3]1.RSP Districts '!I146</f>
        <v>474</v>
      </c>
      <c r="J146" s="27">
        <v>338677</v>
      </c>
      <c r="K146" s="23">
        <v>88824</v>
      </c>
      <c r="L146" s="34">
        <f>'[3]1.RSP Districts '!L146</f>
        <v>89208</v>
      </c>
      <c r="M146" s="88">
        <f t="shared" si="21"/>
        <v>0.43231559038097811</v>
      </c>
      <c r="N146" s="88">
        <f t="shared" si="22"/>
        <v>26.340141196479241</v>
      </c>
      <c r="O146" s="23">
        <v>8108</v>
      </c>
      <c r="P146" s="34">
        <f>'[3]1.RSP Districts '!P146</f>
        <v>8140</v>
      </c>
      <c r="Q146" s="88">
        <f t="shared" si="23"/>
        <v>0.39467192895905279</v>
      </c>
      <c r="R146" s="317" t="s">
        <v>5</v>
      </c>
      <c r="S146" s="34" t="str">
        <f>'[3]1.RSP Districts '!S146</f>
        <v>Yes</v>
      </c>
      <c r="T146" s="34">
        <f>'[3]1.RSP Districts '!T146</f>
        <v>13</v>
      </c>
      <c r="U146" s="1">
        <v>1</v>
      </c>
      <c r="V146" s="137"/>
      <c r="Y146" s="201" t="e">
        <f>I146-'[4]1.RSP Districts '!I144</f>
        <v>#REF!</v>
      </c>
    </row>
    <row r="147" spans="1:25" s="6" customFormat="1" ht="14.25">
      <c r="A147" s="21">
        <v>29</v>
      </c>
      <c r="B147" s="22" t="s">
        <v>130</v>
      </c>
      <c r="C147" s="23">
        <v>44</v>
      </c>
      <c r="D147" s="34">
        <v>43</v>
      </c>
      <c r="E147" s="34">
        <f>'[3]1.RSP Districts '!E147</f>
        <v>43</v>
      </c>
      <c r="F147" s="88">
        <f t="shared" si="19"/>
        <v>0</v>
      </c>
      <c r="G147" s="88">
        <f t="shared" si="20"/>
        <v>97.727272727272734</v>
      </c>
      <c r="H147" s="34">
        <v>373</v>
      </c>
      <c r="I147" s="34">
        <f>'[3]1.RSP Districts '!I147</f>
        <v>373</v>
      </c>
      <c r="J147" s="27">
        <v>133182</v>
      </c>
      <c r="K147" s="23">
        <v>103403</v>
      </c>
      <c r="L147" s="34">
        <f>'[3]1.RSP Districts '!L147</f>
        <v>103879</v>
      </c>
      <c r="M147" s="88">
        <f t="shared" si="21"/>
        <v>0.4603348065336596</v>
      </c>
      <c r="N147" s="88">
        <f t="shared" si="22"/>
        <v>77.997777477436898</v>
      </c>
      <c r="O147" s="23">
        <v>6862</v>
      </c>
      <c r="P147" s="34">
        <f>'[3]1.RSP Districts '!P147</f>
        <v>6862</v>
      </c>
      <c r="Q147" s="88">
        <f t="shared" si="23"/>
        <v>0</v>
      </c>
      <c r="R147" s="317" t="s">
        <v>5</v>
      </c>
      <c r="S147" s="34" t="str">
        <f>'[3]1.RSP Districts '!S147</f>
        <v>Yes</v>
      </c>
      <c r="T147" s="34">
        <f>'[3]1.RSP Districts '!T147</f>
        <v>4</v>
      </c>
      <c r="U147" s="1">
        <v>1</v>
      </c>
      <c r="V147" s="137"/>
      <c r="Y147" s="201" t="e">
        <f>I147-'[4]1.RSP Districts '!I145</f>
        <v>#REF!</v>
      </c>
    </row>
    <row r="148" spans="1:25" s="6" customFormat="1" ht="14.25">
      <c r="A148" s="21">
        <v>29</v>
      </c>
      <c r="B148" s="22" t="s">
        <v>227</v>
      </c>
      <c r="C148" s="23">
        <v>44</v>
      </c>
      <c r="D148" s="23">
        <v>0</v>
      </c>
      <c r="E148" s="23">
        <f>'[14]1.RSP Districts '!E148</f>
        <v>0</v>
      </c>
      <c r="F148" s="88">
        <v>0</v>
      </c>
      <c r="G148" s="88">
        <f t="shared" si="20"/>
        <v>0</v>
      </c>
      <c r="H148" s="23">
        <v>319</v>
      </c>
      <c r="I148" s="23">
        <f>'[14]1.RSP Districts '!I148</f>
        <v>319</v>
      </c>
      <c r="J148" s="23">
        <v>133182</v>
      </c>
      <c r="K148" s="23">
        <v>18650</v>
      </c>
      <c r="L148" s="23">
        <f>'[14]1.RSP Districts '!L148</f>
        <v>18650</v>
      </c>
      <c r="M148" s="88">
        <f t="shared" si="21"/>
        <v>0</v>
      </c>
      <c r="N148" s="88">
        <f t="shared" si="22"/>
        <v>14.003393852022045</v>
      </c>
      <c r="O148" s="23">
        <v>1218</v>
      </c>
      <c r="P148" s="23">
        <f>'[14]1.RSP Districts '!P148</f>
        <v>1218</v>
      </c>
      <c r="Q148" s="88">
        <f t="shared" si="23"/>
        <v>0</v>
      </c>
      <c r="R148" s="317" t="s">
        <v>6</v>
      </c>
      <c r="S148" s="23" t="str">
        <f>'[14]1.RSP Districts '!S148</f>
        <v>No</v>
      </c>
      <c r="T148" s="23">
        <f>'[14]1.RSP Districts '!T148</f>
        <v>0</v>
      </c>
      <c r="U148" s="1">
        <v>1</v>
      </c>
      <c r="V148" s="137"/>
    </row>
    <row r="149" spans="1:25" s="6" customFormat="1" ht="14.25">
      <c r="A149" s="21">
        <v>30</v>
      </c>
      <c r="B149" s="22" t="s">
        <v>131</v>
      </c>
      <c r="C149" s="23">
        <v>58</v>
      </c>
      <c r="D149" s="34">
        <v>58</v>
      </c>
      <c r="E149" s="34">
        <f>'[3]1.RSP Districts '!E149</f>
        <v>58</v>
      </c>
      <c r="F149" s="88">
        <f t="shared" si="19"/>
        <v>0</v>
      </c>
      <c r="G149" s="88">
        <f t="shared" si="20"/>
        <v>100</v>
      </c>
      <c r="H149" s="34">
        <v>319</v>
      </c>
      <c r="I149" s="34">
        <f>'[3]1.RSP Districts '!I149</f>
        <v>319</v>
      </c>
      <c r="J149" s="27">
        <v>256911</v>
      </c>
      <c r="K149" s="23">
        <v>91159</v>
      </c>
      <c r="L149" s="34">
        <f>'[3]1.RSP Districts '!L149</f>
        <v>91159</v>
      </c>
      <c r="M149" s="88">
        <f t="shared" si="21"/>
        <v>0</v>
      </c>
      <c r="N149" s="88">
        <f t="shared" si="22"/>
        <v>35.482715804305769</v>
      </c>
      <c r="O149" s="23">
        <v>6125</v>
      </c>
      <c r="P149" s="34">
        <f>'[3]1.RSP Districts '!P149</f>
        <v>6125</v>
      </c>
      <c r="Q149" s="88">
        <f t="shared" si="23"/>
        <v>0</v>
      </c>
      <c r="R149" s="317" t="s">
        <v>5</v>
      </c>
      <c r="S149" s="34" t="str">
        <f>'[3]1.RSP Districts '!S149</f>
        <v>Yes</v>
      </c>
      <c r="T149" s="34">
        <f>'[3]1.RSP Districts '!T149</f>
        <v>5</v>
      </c>
      <c r="U149" s="1">
        <v>1</v>
      </c>
      <c r="V149" s="137"/>
      <c r="Y149" s="201" t="e">
        <f>I149-'[4]1.RSP Districts '!I147</f>
        <v>#REF!</v>
      </c>
    </row>
    <row r="150" spans="1:25" s="6" customFormat="1" ht="14.25">
      <c r="A150" s="21">
        <v>31</v>
      </c>
      <c r="B150" s="22" t="s">
        <v>132</v>
      </c>
      <c r="C150" s="23">
        <v>83</v>
      </c>
      <c r="D150" s="23">
        <v>39</v>
      </c>
      <c r="E150" s="23">
        <f>'[14]1.RSP Districts '!E150</f>
        <v>39</v>
      </c>
      <c r="F150" s="88">
        <f t="shared" si="19"/>
        <v>0</v>
      </c>
      <c r="G150" s="88">
        <f t="shared" si="20"/>
        <v>46.987951807228917</v>
      </c>
      <c r="H150" s="23">
        <v>272</v>
      </c>
      <c r="I150" s="23">
        <f>'[14]1.RSP Districts '!I150</f>
        <v>274</v>
      </c>
      <c r="J150" s="23">
        <v>227413</v>
      </c>
      <c r="K150" s="23">
        <v>49428</v>
      </c>
      <c r="L150" s="23">
        <f>'[14]1.RSP Districts '!L150</f>
        <v>51816</v>
      </c>
      <c r="M150" s="88">
        <f t="shared" si="21"/>
        <v>4.8312697256615689</v>
      </c>
      <c r="N150" s="88">
        <f t="shared" si="22"/>
        <v>22.784977112126395</v>
      </c>
      <c r="O150" s="23">
        <v>3213</v>
      </c>
      <c r="P150" s="23">
        <f>'[14]1.RSP Districts '!P150</f>
        <v>3291</v>
      </c>
      <c r="Q150" s="88">
        <f t="shared" si="23"/>
        <v>2.4276377217553686</v>
      </c>
      <c r="R150" s="317" t="s">
        <v>6</v>
      </c>
      <c r="S150" s="23" t="str">
        <f>'[14]1.RSP Districts '!S150</f>
        <v>Yes</v>
      </c>
      <c r="T150" s="23">
        <f>'[14]1.RSP Districts '!T150</f>
        <v>3</v>
      </c>
      <c r="U150" s="1">
        <v>1</v>
      </c>
      <c r="V150" s="137"/>
    </row>
    <row r="151" spans="1:25" ht="14.25">
      <c r="A151" s="21">
        <v>31</v>
      </c>
      <c r="B151" s="22" t="s">
        <v>133</v>
      </c>
      <c r="C151" s="23">
        <v>83</v>
      </c>
      <c r="D151" s="34">
        <v>52</v>
      </c>
      <c r="E151" s="34">
        <f>'[3]1.RSP Districts '!E151</f>
        <v>52</v>
      </c>
      <c r="F151" s="88">
        <f t="shared" si="19"/>
        <v>0</v>
      </c>
      <c r="G151" s="88">
        <f t="shared" si="20"/>
        <v>62.650602409638559</v>
      </c>
      <c r="H151" s="34">
        <v>218</v>
      </c>
      <c r="I151" s="34">
        <f>'[3]1.RSP Districts '!I151</f>
        <v>218</v>
      </c>
      <c r="J151" s="23">
        <v>227413</v>
      </c>
      <c r="K151" s="23">
        <v>12414</v>
      </c>
      <c r="L151" s="34">
        <f>'[3]1.RSP Districts '!L151</f>
        <v>12414</v>
      </c>
      <c r="M151" s="88">
        <f t="shared" si="21"/>
        <v>0</v>
      </c>
      <c r="N151" s="88">
        <f t="shared" si="22"/>
        <v>5.4587908342970719</v>
      </c>
      <c r="O151" s="23">
        <v>1201</v>
      </c>
      <c r="P151" s="34">
        <f>'[3]1.RSP Districts '!P151</f>
        <v>1201</v>
      </c>
      <c r="Q151" s="88">
        <f t="shared" si="23"/>
        <v>0</v>
      </c>
      <c r="R151" s="314" t="s">
        <v>5</v>
      </c>
      <c r="S151" s="34" t="str">
        <f>'[3]1.RSP Districts '!S151</f>
        <v>No</v>
      </c>
      <c r="T151" s="34">
        <f>'[3]1.RSP Districts '!T151</f>
        <v>0</v>
      </c>
      <c r="U151" s="1">
        <v>1</v>
      </c>
      <c r="V151" s="137"/>
      <c r="Y151" s="201" t="e">
        <f>I151-'[4]1.RSP Districts '!I149</f>
        <v>#REF!</v>
      </c>
    </row>
    <row r="152" spans="1:25" s="6" customFormat="1" ht="14.25">
      <c r="A152" s="21">
        <v>32</v>
      </c>
      <c r="B152" s="22" t="s">
        <v>134</v>
      </c>
      <c r="C152" s="23">
        <v>132</v>
      </c>
      <c r="D152" s="23">
        <v>57</v>
      </c>
      <c r="E152" s="23">
        <f>'[14]1.RSP Districts '!E152</f>
        <v>57</v>
      </c>
      <c r="F152" s="88">
        <f t="shared" si="19"/>
        <v>0</v>
      </c>
      <c r="G152" s="88">
        <f t="shared" si="20"/>
        <v>43.18181818181818</v>
      </c>
      <c r="H152" s="23">
        <v>224</v>
      </c>
      <c r="I152" s="23">
        <f>'[14]1.RSP Districts '!I152</f>
        <v>224</v>
      </c>
      <c r="J152" s="23">
        <v>303958</v>
      </c>
      <c r="K152" s="23">
        <v>52173</v>
      </c>
      <c r="L152" s="23">
        <f>'[14]1.RSP Districts '!L152</f>
        <v>54233</v>
      </c>
      <c r="M152" s="88">
        <f t="shared" si="21"/>
        <v>3.9484024303758649</v>
      </c>
      <c r="N152" s="88">
        <f t="shared" si="22"/>
        <v>17.842267681719186</v>
      </c>
      <c r="O152" s="23">
        <v>3307</v>
      </c>
      <c r="P152" s="23">
        <f>'[14]1.RSP Districts '!P152</f>
        <v>3371</v>
      </c>
      <c r="Q152" s="88">
        <f t="shared" si="23"/>
        <v>1.9352887813728454</v>
      </c>
      <c r="R152" s="317" t="s">
        <v>6</v>
      </c>
      <c r="S152" s="23" t="str">
        <f>'[14]1.RSP Districts '!S152</f>
        <v>Yes</v>
      </c>
      <c r="T152" s="23">
        <f>'[14]1.RSP Districts '!T152</f>
        <v>3</v>
      </c>
      <c r="U152" s="1">
        <v>1</v>
      </c>
      <c r="V152" s="137"/>
    </row>
    <row r="153" spans="1:25" s="6" customFormat="1" ht="14.25">
      <c r="A153" s="21">
        <v>32</v>
      </c>
      <c r="B153" s="22" t="s">
        <v>238</v>
      </c>
      <c r="C153" s="23">
        <v>132</v>
      </c>
      <c r="D153" s="34">
        <v>116</v>
      </c>
      <c r="E153" s="34">
        <f>'[3]1.RSP Districts '!E153</f>
        <v>116</v>
      </c>
      <c r="F153" s="88">
        <f t="shared" si="19"/>
        <v>0</v>
      </c>
      <c r="G153" s="88">
        <f t="shared" si="20"/>
        <v>87.878787878787875</v>
      </c>
      <c r="H153" s="34">
        <v>652</v>
      </c>
      <c r="I153" s="34">
        <f>'[3]1.RSP Districts '!I153</f>
        <v>652</v>
      </c>
      <c r="J153" s="23">
        <v>303958</v>
      </c>
      <c r="K153" s="23">
        <v>18020</v>
      </c>
      <c r="L153" s="34">
        <f>'[3]1.RSP Districts '!L153</f>
        <v>18020</v>
      </c>
      <c r="M153" s="88">
        <f t="shared" si="21"/>
        <v>0</v>
      </c>
      <c r="N153" s="88">
        <f t="shared" si="22"/>
        <v>5.928450641207009</v>
      </c>
      <c r="O153" s="23">
        <v>1566</v>
      </c>
      <c r="P153" s="34">
        <f>'[3]1.RSP Districts '!P153</f>
        <v>1566</v>
      </c>
      <c r="Q153" s="88">
        <f t="shared" si="23"/>
        <v>0</v>
      </c>
      <c r="R153" s="317" t="s">
        <v>5</v>
      </c>
      <c r="S153" s="34" t="str">
        <f>'[3]1.RSP Districts '!S153</f>
        <v>Yes</v>
      </c>
      <c r="T153" s="34">
        <f>'[3]1.RSP Districts '!T153</f>
        <v>7</v>
      </c>
      <c r="U153" s="1">
        <v>1</v>
      </c>
      <c r="V153" s="137"/>
      <c r="Y153" s="201" t="e">
        <f>I153-'[4]1.RSP Districts '!I151</f>
        <v>#REF!</v>
      </c>
    </row>
    <row r="154" spans="1:25" s="6" customFormat="1" ht="14.25">
      <c r="A154" s="21">
        <v>33</v>
      </c>
      <c r="B154" s="22" t="s">
        <v>135</v>
      </c>
      <c r="C154" s="23">
        <v>91</v>
      </c>
      <c r="D154" s="23">
        <v>10</v>
      </c>
      <c r="E154" s="23">
        <f>'[14]1.RSP Districts '!E154</f>
        <v>10</v>
      </c>
      <c r="F154" s="88">
        <f t="shared" si="19"/>
        <v>0</v>
      </c>
      <c r="G154" s="88">
        <f t="shared" si="20"/>
        <v>10.989010989010989</v>
      </c>
      <c r="H154" s="23">
        <v>143</v>
      </c>
      <c r="I154" s="23">
        <f>'[14]1.RSP Districts '!I154</f>
        <v>143</v>
      </c>
      <c r="J154" s="23">
        <v>207804.73300000001</v>
      </c>
      <c r="K154" s="23">
        <v>27577</v>
      </c>
      <c r="L154" s="23">
        <f>'[14]1.RSP Districts '!L154</f>
        <v>28518</v>
      </c>
      <c r="M154" s="88">
        <f t="shared" si="21"/>
        <v>3.4122638430576209</v>
      </c>
      <c r="N154" s="88">
        <f t="shared" si="22"/>
        <v>13.723460283265061</v>
      </c>
      <c r="O154" s="23">
        <v>1810</v>
      </c>
      <c r="P154" s="23">
        <f>'[14]1.RSP Districts '!P154</f>
        <v>1852</v>
      </c>
      <c r="Q154" s="88">
        <f t="shared" si="23"/>
        <v>2.3204419889502761</v>
      </c>
      <c r="R154" s="317" t="s">
        <v>6</v>
      </c>
      <c r="S154" s="23" t="str">
        <f>'[14]1.RSP Districts '!S154</f>
        <v>Yes</v>
      </c>
      <c r="T154" s="23">
        <f>'[14]1.RSP Districts '!T154</f>
        <v>2</v>
      </c>
      <c r="U154" s="1">
        <v>1</v>
      </c>
      <c r="V154" s="137"/>
    </row>
    <row r="155" spans="1:25" s="6" customFormat="1" ht="14.25">
      <c r="A155" s="21">
        <v>34</v>
      </c>
      <c r="B155" s="22" t="s">
        <v>136</v>
      </c>
      <c r="C155" s="23">
        <v>94</v>
      </c>
      <c r="D155" s="23">
        <v>87</v>
      </c>
      <c r="E155" s="23">
        <f>'[14]1.RSP Districts '!E155</f>
        <v>87</v>
      </c>
      <c r="F155" s="88">
        <f t="shared" si="19"/>
        <v>0</v>
      </c>
      <c r="G155" s="88">
        <f t="shared" si="20"/>
        <v>92.553191489361708</v>
      </c>
      <c r="H155" s="23">
        <v>788</v>
      </c>
      <c r="I155" s="23">
        <f>'[14]1.RSP Districts '!I155</f>
        <v>788</v>
      </c>
      <c r="J155" s="23">
        <v>275204</v>
      </c>
      <c r="K155" s="23">
        <v>177209</v>
      </c>
      <c r="L155" s="23">
        <f>'[14]1.RSP Districts '!L155</f>
        <v>182971</v>
      </c>
      <c r="M155" s="88">
        <f t="shared" si="21"/>
        <v>3.251527856937289</v>
      </c>
      <c r="N155" s="88">
        <f t="shared" si="22"/>
        <v>66.485588872254766</v>
      </c>
      <c r="O155" s="23">
        <v>7920</v>
      </c>
      <c r="P155" s="23">
        <f>'[14]1.RSP Districts '!P155</f>
        <v>8067</v>
      </c>
      <c r="Q155" s="88">
        <f t="shared" si="23"/>
        <v>1.856060606060606</v>
      </c>
      <c r="R155" s="317" t="s">
        <v>6</v>
      </c>
      <c r="S155" s="23" t="str">
        <f>'[14]1.RSP Districts '!S155</f>
        <v>Yes</v>
      </c>
      <c r="T155" s="23">
        <f>'[14]1.RSP Districts '!T155</f>
        <v>7</v>
      </c>
      <c r="U155" s="1">
        <v>1</v>
      </c>
      <c r="V155" s="137"/>
    </row>
    <row r="156" spans="1:25" s="6" customFormat="1" ht="14.25">
      <c r="A156" s="21">
        <v>35</v>
      </c>
      <c r="B156" s="22" t="s">
        <v>137</v>
      </c>
      <c r="C156" s="23">
        <v>79</v>
      </c>
      <c r="D156" s="23">
        <v>22</v>
      </c>
      <c r="E156" s="23">
        <f>'[14]1.RSP Districts '!E156</f>
        <v>22</v>
      </c>
      <c r="F156" s="88">
        <f t="shared" si="19"/>
        <v>0</v>
      </c>
      <c r="G156" s="88">
        <f t="shared" si="20"/>
        <v>27.848101265822784</v>
      </c>
      <c r="H156" s="23">
        <v>152</v>
      </c>
      <c r="I156" s="23">
        <f>'[14]1.RSP Districts '!I156</f>
        <v>152</v>
      </c>
      <c r="J156" s="23">
        <v>187555</v>
      </c>
      <c r="K156" s="23">
        <v>42639</v>
      </c>
      <c r="L156" s="23">
        <f>'[14]1.RSP Districts '!L156</f>
        <v>44536</v>
      </c>
      <c r="M156" s="88">
        <f t="shared" si="21"/>
        <v>4.4489786345833631</v>
      </c>
      <c r="N156" s="88">
        <f t="shared" si="22"/>
        <v>23.745567966729759</v>
      </c>
      <c r="O156" s="23">
        <v>2831</v>
      </c>
      <c r="P156" s="23">
        <f>'[14]1.RSP Districts '!P156</f>
        <v>2895</v>
      </c>
      <c r="Q156" s="88">
        <f t="shared" si="23"/>
        <v>2.2606852702225364</v>
      </c>
      <c r="R156" s="317" t="s">
        <v>6</v>
      </c>
      <c r="S156" s="23" t="str">
        <f>'[14]1.RSP Districts '!S156</f>
        <v>Yes</v>
      </c>
      <c r="T156" s="23">
        <f>'[14]1.RSP Districts '!T156</f>
        <v>3</v>
      </c>
      <c r="U156" s="1">
        <v>1</v>
      </c>
      <c r="V156" s="137"/>
    </row>
    <row r="157" spans="1:25" ht="14.25">
      <c r="A157" s="21">
        <v>35</v>
      </c>
      <c r="B157" s="22" t="s">
        <v>138</v>
      </c>
      <c r="C157" s="23">
        <v>79</v>
      </c>
      <c r="D157" s="34">
        <v>61</v>
      </c>
      <c r="E157" s="34">
        <f>'[3]1.RSP Districts '!E157</f>
        <v>61</v>
      </c>
      <c r="F157" s="88">
        <f t="shared" si="19"/>
        <v>0</v>
      </c>
      <c r="G157" s="88">
        <f t="shared" si="20"/>
        <v>77.215189873417714</v>
      </c>
      <c r="H157" s="34">
        <v>214</v>
      </c>
      <c r="I157" s="34">
        <f>'[3]1.RSP Districts '!I157</f>
        <v>214</v>
      </c>
      <c r="J157" s="23">
        <v>187555</v>
      </c>
      <c r="K157" s="23">
        <v>13594</v>
      </c>
      <c r="L157" s="34">
        <f>'[3]1.RSP Districts '!L157</f>
        <v>13594</v>
      </c>
      <c r="M157" s="88">
        <f t="shared" si="21"/>
        <v>0</v>
      </c>
      <c r="N157" s="88">
        <f t="shared" si="22"/>
        <v>7.248007251206313</v>
      </c>
      <c r="O157" s="23">
        <v>1545</v>
      </c>
      <c r="P157" s="34">
        <f>'[3]1.RSP Districts '!P157</f>
        <v>1545</v>
      </c>
      <c r="Q157" s="88">
        <f t="shared" si="23"/>
        <v>0</v>
      </c>
      <c r="R157" s="314" t="s">
        <v>5</v>
      </c>
      <c r="S157" s="34" t="str">
        <f>'[3]1.RSP Districts '!S157</f>
        <v>No</v>
      </c>
      <c r="T157" s="34">
        <f>'[3]1.RSP Districts '!T157</f>
        <v>0</v>
      </c>
      <c r="U157" s="1">
        <v>1</v>
      </c>
      <c r="V157" s="137"/>
      <c r="Y157" s="201" t="e">
        <f>I157-'[4]1.RSP Districts '!I155</f>
        <v>#REF!</v>
      </c>
    </row>
    <row r="158" spans="1:25" s="6" customFormat="1" thickBot="1">
      <c r="A158" s="32">
        <v>36</v>
      </c>
      <c r="B158" s="33" t="s">
        <v>139</v>
      </c>
      <c r="C158" s="34">
        <v>87</v>
      </c>
      <c r="D158" s="34">
        <v>80</v>
      </c>
      <c r="E158" s="34">
        <f>'[3]1.RSP Districts '!E158</f>
        <v>80</v>
      </c>
      <c r="F158" s="119">
        <f t="shared" si="19"/>
        <v>0</v>
      </c>
      <c r="G158" s="119">
        <f t="shared" si="20"/>
        <v>91.954022988505741</v>
      </c>
      <c r="H158" s="34">
        <v>528</v>
      </c>
      <c r="I158" s="34">
        <f>'[3]1.RSP Districts '!I158</f>
        <v>528</v>
      </c>
      <c r="J158" s="35">
        <v>257583</v>
      </c>
      <c r="K158" s="23">
        <v>39089</v>
      </c>
      <c r="L158" s="34">
        <f>'[3]1.RSP Districts '!L158</f>
        <v>39089</v>
      </c>
      <c r="M158" s="119">
        <f t="shared" si="21"/>
        <v>0</v>
      </c>
      <c r="N158" s="119">
        <f t="shared" si="22"/>
        <v>15.175302717958871</v>
      </c>
      <c r="O158" s="23">
        <v>3149</v>
      </c>
      <c r="P158" s="34">
        <f>'[3]1.RSP Districts '!P158</f>
        <v>3149</v>
      </c>
      <c r="Q158" s="119">
        <f t="shared" si="23"/>
        <v>0</v>
      </c>
      <c r="R158" s="319" t="s">
        <v>5</v>
      </c>
      <c r="S158" s="34" t="str">
        <f>'[3]1.RSP Districts '!S158</f>
        <v>No</v>
      </c>
      <c r="T158" s="34">
        <f>'[3]1.RSP Districts '!T158</f>
        <v>1</v>
      </c>
      <c r="U158" s="1">
        <v>1</v>
      </c>
      <c r="V158" s="137"/>
      <c r="Y158" s="201" t="e">
        <f>I158-'[4]1.RSP Districts '!I156</f>
        <v>#REF!</v>
      </c>
    </row>
    <row r="159" spans="1:25" s="4" customFormat="1" ht="15.75" thickBot="1">
      <c r="A159" s="131">
        <f>COUNTIF(R107:R158,"*")-(16)</f>
        <v>36</v>
      </c>
      <c r="B159" s="130" t="s">
        <v>76</v>
      </c>
      <c r="C159" s="49">
        <f>SUM(C107:C158)-(C107+C116+C113+C133+C126+C137+C140+C144+C148+C150+C156+C153+C135+C122+C131+C119)</f>
        <v>2635</v>
      </c>
      <c r="D159" s="49">
        <f>SUM(D107:D158)-(D107+D116+D113+D133+D126+D137+D140+D144+D148+D150+D156+D153+D135+D122+D131+D119)</f>
        <v>1782</v>
      </c>
      <c r="E159" s="49">
        <f>SUM(E107:E158)-(E107+E116+E113+E133+E126+E137+E140+E144+E148+E150+E156+E153+E135+E122+E131+E119)</f>
        <v>1807</v>
      </c>
      <c r="F159" s="132">
        <f t="shared" si="19"/>
        <v>1.4029180695847363</v>
      </c>
      <c r="G159" s="132">
        <f t="shared" si="20"/>
        <v>68.576850094876662</v>
      </c>
      <c r="H159" s="49">
        <f>SUM(H107:H158)</f>
        <v>14602</v>
      </c>
      <c r="I159" s="49">
        <f>SUM(I107:I158)</f>
        <v>14995</v>
      </c>
      <c r="J159" s="49">
        <f>SUM(J107:J158)-(J107+J116+J113+J133+J126+J137+J140+J144+J148+J150+J156+J153+J135+J122+J131+J119)</f>
        <v>6063823.2431565113</v>
      </c>
      <c r="K159" s="49">
        <f>SUM(K107:K158)</f>
        <v>2997497</v>
      </c>
      <c r="L159" s="49">
        <f>SUM(L107:L158)</f>
        <v>3058702</v>
      </c>
      <c r="M159" s="132">
        <f t="shared" si="21"/>
        <v>2.0418702670928446</v>
      </c>
      <c r="N159" s="132">
        <f t="shared" si="22"/>
        <v>50.441806717436549</v>
      </c>
      <c r="O159" s="49">
        <f>SUM(O107:O158)</f>
        <v>196592</v>
      </c>
      <c r="P159" s="49">
        <f>SUM(P107:P158)</f>
        <v>199462</v>
      </c>
      <c r="Q159" s="132">
        <f t="shared" si="23"/>
        <v>1.4598762920159518</v>
      </c>
      <c r="R159" s="313"/>
      <c r="S159" s="327"/>
      <c r="T159" s="327"/>
      <c r="U159" s="1">
        <v>1</v>
      </c>
      <c r="V159" s="137"/>
    </row>
    <row r="160" spans="1:25" ht="26.25" customHeight="1" thickBot="1">
      <c r="A160" s="30"/>
      <c r="B160" s="31"/>
      <c r="C160" s="25"/>
      <c r="D160" s="25"/>
      <c r="E160" s="25"/>
      <c r="F160" s="89"/>
      <c r="G160" s="89"/>
      <c r="H160" s="89"/>
      <c r="I160" s="89"/>
      <c r="J160" s="25"/>
      <c r="K160" s="25"/>
      <c r="L160" s="25"/>
      <c r="M160" s="25"/>
      <c r="N160" s="25"/>
      <c r="O160" s="25"/>
      <c r="P160" s="25"/>
      <c r="Q160" s="25"/>
      <c r="R160" s="14"/>
      <c r="S160" s="325"/>
      <c r="T160" s="325"/>
      <c r="U160" s="1">
        <v>1</v>
      </c>
    </row>
    <row r="161" spans="1:25" s="5" customFormat="1" ht="14.25">
      <c r="A161" s="17" t="s">
        <v>140</v>
      </c>
      <c r="B161" s="18"/>
      <c r="C161" s="19"/>
      <c r="D161" s="26"/>
      <c r="E161" s="26"/>
      <c r="F161" s="90"/>
      <c r="G161" s="90"/>
      <c r="H161" s="90"/>
      <c r="I161" s="90"/>
      <c r="J161" s="19"/>
      <c r="K161" s="26"/>
      <c r="L161" s="26"/>
      <c r="M161" s="26"/>
      <c r="N161" s="26"/>
      <c r="O161" s="26"/>
      <c r="P161" s="26"/>
      <c r="Q161" s="26"/>
      <c r="R161" s="19"/>
      <c r="S161" s="326"/>
      <c r="T161" s="326"/>
      <c r="U161" s="1">
        <v>1</v>
      </c>
    </row>
    <row r="162" spans="1:25" s="6" customFormat="1" ht="14.25">
      <c r="A162" s="21">
        <v>1</v>
      </c>
      <c r="B162" s="22" t="s">
        <v>141</v>
      </c>
      <c r="C162" s="23">
        <v>19</v>
      </c>
      <c r="D162" s="34">
        <v>19</v>
      </c>
      <c r="E162" s="34">
        <f>'[3]1.RSP Districts '!E162</f>
        <v>19</v>
      </c>
      <c r="F162" s="88">
        <f t="shared" ref="F162:F178" si="39">(E162-D162)/D162%</f>
        <v>0</v>
      </c>
      <c r="G162" s="88">
        <f t="shared" ref="G162:G178" si="40">E162/C162%</f>
        <v>100</v>
      </c>
      <c r="H162" s="34">
        <v>100</v>
      </c>
      <c r="I162" s="34">
        <f>'[3]1.RSP Districts '!I162</f>
        <v>100</v>
      </c>
      <c r="J162" s="27">
        <v>46469.594594594593</v>
      </c>
      <c r="K162" s="34">
        <v>27520</v>
      </c>
      <c r="L162" s="34">
        <f>'[3]1.RSP Districts '!L162</f>
        <v>27520</v>
      </c>
      <c r="M162" s="88">
        <f t="shared" ref="M162:M178" si="41">(L162-K162)/K162%</f>
        <v>0</v>
      </c>
      <c r="N162" s="88">
        <f t="shared" ref="N162:N178" si="42">L162/J162%</f>
        <v>59.221519447473646</v>
      </c>
      <c r="O162" s="34">
        <v>1633</v>
      </c>
      <c r="P162" s="34">
        <f>'[3]1.RSP Districts '!P162</f>
        <v>1633</v>
      </c>
      <c r="Q162" s="88">
        <f t="shared" ref="Q162:Q178" si="43">(P162-O162)/O162%</f>
        <v>0</v>
      </c>
      <c r="R162" s="317" t="s">
        <v>5</v>
      </c>
      <c r="S162" s="34" t="str">
        <f>'[3]1.RSP Districts '!S162</f>
        <v>Yes</v>
      </c>
      <c r="T162" s="34">
        <f>'[3]1.RSP Districts '!T162</f>
        <v>1</v>
      </c>
      <c r="U162" s="1">
        <v>1</v>
      </c>
      <c r="Y162" s="201" t="e">
        <f>I162-'[4]1.RSP Districts '!I160</f>
        <v>#REF!</v>
      </c>
    </row>
    <row r="163" spans="1:25" s="6" customFormat="1" ht="14.25">
      <c r="A163" s="21">
        <v>1</v>
      </c>
      <c r="B163" s="22" t="s">
        <v>166</v>
      </c>
      <c r="C163" s="23">
        <v>19</v>
      </c>
      <c r="D163" s="23">
        <v>10</v>
      </c>
      <c r="E163" s="23">
        <f>D163</f>
        <v>10</v>
      </c>
      <c r="F163" s="88">
        <f t="shared" si="39"/>
        <v>0</v>
      </c>
      <c r="G163" s="88">
        <f t="shared" si="40"/>
        <v>52.631578947368418</v>
      </c>
      <c r="H163" s="23">
        <v>52.631578947368418</v>
      </c>
      <c r="I163" s="23">
        <f>H163</f>
        <v>52.631578947368418</v>
      </c>
      <c r="J163" s="23">
        <v>46469.594594594593</v>
      </c>
      <c r="K163" s="34">
        <v>672</v>
      </c>
      <c r="L163" s="23">
        <f>K163</f>
        <v>672</v>
      </c>
      <c r="M163" s="88">
        <f t="shared" si="41"/>
        <v>0</v>
      </c>
      <c r="N163" s="88">
        <f t="shared" si="42"/>
        <v>1.4461068702290076</v>
      </c>
      <c r="O163" s="34">
        <v>32</v>
      </c>
      <c r="P163" s="23">
        <f>O163</f>
        <v>32</v>
      </c>
      <c r="Q163" s="88">
        <f t="shared" si="43"/>
        <v>0</v>
      </c>
      <c r="R163" s="317" t="s">
        <v>1</v>
      </c>
      <c r="S163" s="328"/>
      <c r="T163" s="328"/>
      <c r="U163" s="1">
        <v>1</v>
      </c>
    </row>
    <row r="164" spans="1:25" s="6" customFormat="1" ht="14.25">
      <c r="A164" s="21">
        <v>2</v>
      </c>
      <c r="B164" s="22" t="s">
        <v>165</v>
      </c>
      <c r="C164" s="23">
        <v>13</v>
      </c>
      <c r="D164" s="34">
        <v>5</v>
      </c>
      <c r="E164" s="34">
        <f>'[3]1.RSP Districts '!E164</f>
        <v>5</v>
      </c>
      <c r="F164" s="88">
        <f t="shared" si="39"/>
        <v>0</v>
      </c>
      <c r="G164" s="88">
        <f t="shared" si="40"/>
        <v>38.46153846153846</v>
      </c>
      <c r="H164" s="34">
        <v>38</v>
      </c>
      <c r="I164" s="34">
        <f>'[3]1.RSP Districts '!I164</f>
        <v>38</v>
      </c>
      <c r="J164" s="27">
        <v>21296</v>
      </c>
      <c r="K164" s="34">
        <v>12914</v>
      </c>
      <c r="L164" s="34">
        <f>'[3]1.RSP Districts '!L164</f>
        <v>12914</v>
      </c>
      <c r="M164" s="88">
        <f t="shared" si="41"/>
        <v>0</v>
      </c>
      <c r="N164" s="88">
        <f t="shared" si="42"/>
        <v>60.640495867768593</v>
      </c>
      <c r="O164" s="34">
        <v>608</v>
      </c>
      <c r="P164" s="34">
        <f>'[3]1.RSP Districts '!P164</f>
        <v>608</v>
      </c>
      <c r="Q164" s="88">
        <f t="shared" si="43"/>
        <v>0</v>
      </c>
      <c r="R164" s="317" t="s">
        <v>5</v>
      </c>
      <c r="S164" s="34" t="str">
        <f>'[3]1.RSP Districts '!S164</f>
        <v>No</v>
      </c>
      <c r="T164" s="34">
        <f>'[3]1.RSP Districts '!T164</f>
        <v>0</v>
      </c>
      <c r="U164" s="1">
        <v>1</v>
      </c>
      <c r="Y164" s="201" t="e">
        <f>I164-'[4]1.RSP Districts '!I162</f>
        <v>#REF!</v>
      </c>
    </row>
    <row r="165" spans="1:25" s="6" customFormat="1" ht="14.25">
      <c r="A165" s="21">
        <v>2</v>
      </c>
      <c r="B165" s="22" t="s">
        <v>167</v>
      </c>
      <c r="C165" s="23">
        <v>13</v>
      </c>
      <c r="D165" s="23">
        <v>10</v>
      </c>
      <c r="E165" s="23">
        <f>D165</f>
        <v>10</v>
      </c>
      <c r="F165" s="88">
        <f t="shared" si="39"/>
        <v>0</v>
      </c>
      <c r="G165" s="88">
        <f t="shared" si="40"/>
        <v>76.92307692307692</v>
      </c>
      <c r="H165" s="23">
        <v>76.92307692307692</v>
      </c>
      <c r="I165" s="23">
        <f>H165</f>
        <v>76.92307692307692</v>
      </c>
      <c r="J165" s="23">
        <v>21296</v>
      </c>
      <c r="K165" s="34">
        <v>16770</v>
      </c>
      <c r="L165" s="23">
        <f>K165</f>
        <v>16770</v>
      </c>
      <c r="M165" s="88">
        <f t="shared" si="41"/>
        <v>0</v>
      </c>
      <c r="N165" s="88">
        <f t="shared" si="42"/>
        <v>78.747182569496616</v>
      </c>
      <c r="O165" s="34">
        <v>827</v>
      </c>
      <c r="P165" s="23">
        <f>O165</f>
        <v>827</v>
      </c>
      <c r="Q165" s="88">
        <f t="shared" si="43"/>
        <v>0</v>
      </c>
      <c r="R165" s="317" t="s">
        <v>1</v>
      </c>
      <c r="S165" s="328"/>
      <c r="T165" s="328"/>
      <c r="U165" s="1">
        <v>1</v>
      </c>
    </row>
    <row r="166" spans="1:25" s="6" customFormat="1" ht="14.25">
      <c r="A166" s="21">
        <v>3</v>
      </c>
      <c r="B166" s="22" t="s">
        <v>142</v>
      </c>
      <c r="C166" s="23">
        <v>38</v>
      </c>
      <c r="D166" s="34">
        <v>33</v>
      </c>
      <c r="E166" s="34">
        <f>'[3]1.RSP Districts '!E166</f>
        <v>33</v>
      </c>
      <c r="F166" s="88">
        <f t="shared" si="39"/>
        <v>0</v>
      </c>
      <c r="G166" s="88">
        <f t="shared" si="40"/>
        <v>86.84210526315789</v>
      </c>
      <c r="H166" s="34">
        <v>87</v>
      </c>
      <c r="I166" s="34">
        <f>'[3]1.RSP Districts '!I166</f>
        <v>87</v>
      </c>
      <c r="J166" s="27">
        <v>67482.876712328754</v>
      </c>
      <c r="K166" s="34">
        <v>42685</v>
      </c>
      <c r="L166" s="34">
        <f>'[3]1.RSP Districts '!L166</f>
        <v>42685</v>
      </c>
      <c r="M166" s="88">
        <f t="shared" si="41"/>
        <v>0</v>
      </c>
      <c r="N166" s="88">
        <f t="shared" si="42"/>
        <v>63.253082973864515</v>
      </c>
      <c r="O166" s="34">
        <v>2419</v>
      </c>
      <c r="P166" s="34">
        <f>'[3]1.RSP Districts '!P166</f>
        <v>2419</v>
      </c>
      <c r="Q166" s="88">
        <f t="shared" si="43"/>
        <v>0</v>
      </c>
      <c r="R166" s="317" t="s">
        <v>5</v>
      </c>
      <c r="S166" s="34" t="str">
        <f>'[3]1.RSP Districts '!S166</f>
        <v>Yes</v>
      </c>
      <c r="T166" s="34">
        <f>'[3]1.RSP Districts '!T166</f>
        <v>3</v>
      </c>
      <c r="U166" s="1">
        <v>1</v>
      </c>
      <c r="Y166" s="201" t="e">
        <f>I166-'[4]1.RSP Districts '!I164</f>
        <v>#REF!</v>
      </c>
    </row>
    <row r="167" spans="1:25" s="6" customFormat="1" ht="14.25">
      <c r="A167" s="21">
        <v>3</v>
      </c>
      <c r="B167" s="22" t="s">
        <v>143</v>
      </c>
      <c r="C167" s="23">
        <v>38</v>
      </c>
      <c r="D167" s="23">
        <v>36</v>
      </c>
      <c r="E167" s="23">
        <f>D167</f>
        <v>36</v>
      </c>
      <c r="F167" s="88">
        <f t="shared" si="39"/>
        <v>0</v>
      </c>
      <c r="G167" s="88">
        <f t="shared" si="40"/>
        <v>94.73684210526315</v>
      </c>
      <c r="H167" s="23">
        <v>94.73684210526315</v>
      </c>
      <c r="I167" s="23">
        <f>H167</f>
        <v>94.73684210526315</v>
      </c>
      <c r="J167" s="23">
        <v>67482.876712328754</v>
      </c>
      <c r="K167" s="34">
        <v>13807</v>
      </c>
      <c r="L167" s="23">
        <f>K167</f>
        <v>13807</v>
      </c>
      <c r="M167" s="88">
        <f t="shared" si="41"/>
        <v>0</v>
      </c>
      <c r="N167" s="88">
        <f t="shared" si="42"/>
        <v>20.460005074854102</v>
      </c>
      <c r="O167" s="34">
        <v>566</v>
      </c>
      <c r="P167" s="23">
        <f>O167</f>
        <v>566</v>
      </c>
      <c r="Q167" s="88">
        <f t="shared" si="43"/>
        <v>0</v>
      </c>
      <c r="R167" s="317" t="s">
        <v>1</v>
      </c>
      <c r="S167" s="328"/>
      <c r="T167" s="328"/>
      <c r="U167" s="1">
        <v>1</v>
      </c>
    </row>
    <row r="168" spans="1:25" s="6" customFormat="1" ht="14.25">
      <c r="A168" s="21">
        <v>4</v>
      </c>
      <c r="B168" s="22" t="s">
        <v>280</v>
      </c>
      <c r="C168" s="23">
        <v>32</v>
      </c>
      <c r="D168" s="34">
        <v>18</v>
      </c>
      <c r="E168" s="34">
        <f>'[3]1.RSP Districts '!E168</f>
        <v>18</v>
      </c>
      <c r="F168" s="88">
        <f t="shared" si="39"/>
        <v>0</v>
      </c>
      <c r="G168" s="88">
        <f t="shared" si="40"/>
        <v>56.25</v>
      </c>
      <c r="H168" s="34">
        <v>56</v>
      </c>
      <c r="I168" s="34">
        <f>'[3]1.RSP Districts '!I168</f>
        <v>56</v>
      </c>
      <c r="J168" s="23">
        <v>60712</v>
      </c>
      <c r="K168" s="34">
        <v>24613</v>
      </c>
      <c r="L168" s="34">
        <f>'[3]1.RSP Districts '!L168</f>
        <v>24613</v>
      </c>
      <c r="M168" s="88">
        <f t="shared" si="41"/>
        <v>0</v>
      </c>
      <c r="N168" s="88">
        <f t="shared" si="42"/>
        <v>40.540585057319802</v>
      </c>
      <c r="O168" s="34">
        <v>1096</v>
      </c>
      <c r="P168" s="34">
        <f>'[3]1.RSP Districts '!P168</f>
        <v>1096</v>
      </c>
      <c r="Q168" s="88">
        <f t="shared" si="43"/>
        <v>0</v>
      </c>
      <c r="R168" s="317" t="s">
        <v>5</v>
      </c>
      <c r="S168" s="34" t="str">
        <f>'[3]1.RSP Districts '!S168</f>
        <v>No</v>
      </c>
      <c r="T168" s="34">
        <f>'[3]1.RSP Districts '!T168</f>
        <v>0</v>
      </c>
      <c r="U168" s="1">
        <v>1</v>
      </c>
      <c r="Y168" s="201" t="e">
        <f>I168-'[4]1.RSP Districts '!I166</f>
        <v>#REF!</v>
      </c>
    </row>
    <row r="169" spans="1:25" s="6" customFormat="1" ht="14.25">
      <c r="A169" s="21">
        <v>4</v>
      </c>
      <c r="B169" s="22" t="s">
        <v>281</v>
      </c>
      <c r="C169" s="23">
        <v>32</v>
      </c>
      <c r="D169" s="23">
        <v>26</v>
      </c>
      <c r="E169" s="23">
        <f>D169</f>
        <v>26</v>
      </c>
      <c r="F169" s="88">
        <f t="shared" si="39"/>
        <v>0</v>
      </c>
      <c r="G169" s="88">
        <f t="shared" si="40"/>
        <v>81.25</v>
      </c>
      <c r="H169" s="23">
        <v>81.25</v>
      </c>
      <c r="I169" s="23">
        <f>H169</f>
        <v>81.25</v>
      </c>
      <c r="J169" s="23">
        <v>60712</v>
      </c>
      <c r="K169" s="34">
        <v>45689</v>
      </c>
      <c r="L169" s="23">
        <f>K169</f>
        <v>45689</v>
      </c>
      <c r="M169" s="88">
        <f t="shared" si="41"/>
        <v>0</v>
      </c>
      <c r="N169" s="88">
        <f t="shared" si="42"/>
        <v>75.255303729081561</v>
      </c>
      <c r="O169" s="34">
        <v>2192</v>
      </c>
      <c r="P169" s="23">
        <f>O169</f>
        <v>2192</v>
      </c>
      <c r="Q169" s="88">
        <f t="shared" si="43"/>
        <v>0</v>
      </c>
      <c r="R169" s="317" t="s">
        <v>1</v>
      </c>
      <c r="S169" s="328"/>
      <c r="T169" s="328"/>
      <c r="U169" s="1">
        <v>1</v>
      </c>
    </row>
    <row r="170" spans="1:25" s="6" customFormat="1" ht="14.25">
      <c r="A170" s="21">
        <v>5</v>
      </c>
      <c r="B170" s="22" t="s">
        <v>144</v>
      </c>
      <c r="C170" s="23">
        <v>9</v>
      </c>
      <c r="D170" s="34">
        <v>9</v>
      </c>
      <c r="E170" s="34">
        <f>'[3]1.RSP Districts '!E170</f>
        <v>9</v>
      </c>
      <c r="F170" s="88">
        <f t="shared" si="39"/>
        <v>0</v>
      </c>
      <c r="G170" s="88">
        <f t="shared" si="40"/>
        <v>100</v>
      </c>
      <c r="H170" s="34">
        <v>100</v>
      </c>
      <c r="I170" s="34">
        <f>'[3]1.RSP Districts '!I170</f>
        <v>100</v>
      </c>
      <c r="J170" s="23">
        <v>15648.786335031467</v>
      </c>
      <c r="K170" s="34">
        <v>11619</v>
      </c>
      <c r="L170" s="34">
        <f>'[3]1.RSP Districts '!L170</f>
        <v>11619</v>
      </c>
      <c r="M170" s="88">
        <f t="shared" si="41"/>
        <v>0</v>
      </c>
      <c r="N170" s="88">
        <f t="shared" si="42"/>
        <v>74.248569513596308</v>
      </c>
      <c r="O170" s="34">
        <v>535</v>
      </c>
      <c r="P170" s="34">
        <f>'[3]1.RSP Districts '!P170</f>
        <v>535</v>
      </c>
      <c r="Q170" s="88">
        <f t="shared" si="43"/>
        <v>0</v>
      </c>
      <c r="R170" s="317" t="s">
        <v>5</v>
      </c>
      <c r="S170" s="34" t="str">
        <f>'[3]1.RSP Districts '!S170</f>
        <v>No</v>
      </c>
      <c r="T170" s="34">
        <f>'[3]1.RSP Districts '!T170</f>
        <v>0</v>
      </c>
      <c r="U170" s="1">
        <v>1</v>
      </c>
      <c r="Y170" s="201" t="e">
        <f>I170-'[4]1.RSP Districts '!I168</f>
        <v>#REF!</v>
      </c>
    </row>
    <row r="171" spans="1:25" s="6" customFormat="1" ht="14.25">
      <c r="A171" s="21">
        <v>5</v>
      </c>
      <c r="B171" s="22" t="s">
        <v>145</v>
      </c>
      <c r="C171" s="23">
        <v>9</v>
      </c>
      <c r="D171" s="23">
        <v>9</v>
      </c>
      <c r="E171" s="23">
        <f>D171</f>
        <v>9</v>
      </c>
      <c r="F171" s="88">
        <f t="shared" si="39"/>
        <v>0</v>
      </c>
      <c r="G171" s="88">
        <f t="shared" si="40"/>
        <v>100</v>
      </c>
      <c r="H171" s="23">
        <v>100</v>
      </c>
      <c r="I171" s="23">
        <f>H171</f>
        <v>100</v>
      </c>
      <c r="J171" s="23">
        <v>15648.786335031467</v>
      </c>
      <c r="K171" s="34">
        <v>6722</v>
      </c>
      <c r="L171" s="23">
        <f>K171</f>
        <v>6722</v>
      </c>
      <c r="M171" s="88">
        <f t="shared" si="41"/>
        <v>0</v>
      </c>
      <c r="N171" s="88">
        <f t="shared" si="42"/>
        <v>42.955407889697426</v>
      </c>
      <c r="O171" s="34">
        <v>267</v>
      </c>
      <c r="P171" s="23">
        <f>O171</f>
        <v>267</v>
      </c>
      <c r="Q171" s="88">
        <f t="shared" si="43"/>
        <v>0</v>
      </c>
      <c r="R171" s="317" t="s">
        <v>1</v>
      </c>
      <c r="S171" s="328"/>
      <c r="T171" s="328"/>
      <c r="U171" s="1">
        <v>1</v>
      </c>
    </row>
    <row r="172" spans="1:25" s="6" customFormat="1" ht="14.25">
      <c r="A172" s="21">
        <v>6</v>
      </c>
      <c r="B172" s="22" t="s">
        <v>146</v>
      </c>
      <c r="C172" s="23">
        <v>25</v>
      </c>
      <c r="D172" s="34">
        <v>26</v>
      </c>
      <c r="E172" s="34">
        <f>'[3]1.RSP Districts '!E172</f>
        <v>26</v>
      </c>
      <c r="F172" s="88">
        <f t="shared" si="39"/>
        <v>0</v>
      </c>
      <c r="G172" s="88">
        <f t="shared" si="40"/>
        <v>104</v>
      </c>
      <c r="H172" s="34">
        <v>104</v>
      </c>
      <c r="I172" s="34">
        <f>'[3]1.RSP Districts '!I172</f>
        <v>104</v>
      </c>
      <c r="J172" s="27">
        <v>47319.07894736842</v>
      </c>
      <c r="K172" s="34">
        <v>46403</v>
      </c>
      <c r="L172" s="34">
        <f>'[3]1.RSP Districts '!L172</f>
        <v>46403</v>
      </c>
      <c r="M172" s="88">
        <f t="shared" si="41"/>
        <v>0</v>
      </c>
      <c r="N172" s="88">
        <f t="shared" si="42"/>
        <v>98.064038929440386</v>
      </c>
      <c r="O172" s="34">
        <v>2467</v>
      </c>
      <c r="P172" s="34">
        <f>'[3]1.RSP Districts '!P172</f>
        <v>2467</v>
      </c>
      <c r="Q172" s="88">
        <f t="shared" si="43"/>
        <v>0</v>
      </c>
      <c r="R172" s="317" t="s">
        <v>5</v>
      </c>
      <c r="S172" s="34" t="str">
        <f>'[3]1.RSP Districts '!S172</f>
        <v>Yes</v>
      </c>
      <c r="T172" s="34">
        <f>'[3]1.RSP Districts '!T172</f>
        <v>3</v>
      </c>
      <c r="U172" s="1">
        <v>1</v>
      </c>
      <c r="Y172" s="201" t="e">
        <f>I172-'[4]1.RSP Districts '!I170</f>
        <v>#REF!</v>
      </c>
    </row>
    <row r="173" spans="1:25" s="116" customFormat="1" ht="14.25">
      <c r="A173" s="21">
        <v>6</v>
      </c>
      <c r="B173" s="22" t="s">
        <v>282</v>
      </c>
      <c r="C173" s="23">
        <v>25</v>
      </c>
      <c r="D173" s="23">
        <v>12</v>
      </c>
      <c r="E173" s="23">
        <f t="shared" ref="E173:E174" si="44">D173</f>
        <v>12</v>
      </c>
      <c r="F173" s="88">
        <f t="shared" si="39"/>
        <v>0</v>
      </c>
      <c r="G173" s="88">
        <f t="shared" si="40"/>
        <v>48</v>
      </c>
      <c r="H173" s="23">
        <v>48</v>
      </c>
      <c r="I173" s="23">
        <f t="shared" ref="I173:I174" si="45">H173</f>
        <v>48</v>
      </c>
      <c r="J173" s="27">
        <v>47319.07894736842</v>
      </c>
      <c r="K173" s="34">
        <v>4523</v>
      </c>
      <c r="L173" s="23">
        <f t="shared" ref="L173:L174" si="46">K173</f>
        <v>4523</v>
      </c>
      <c r="M173" s="88">
        <f t="shared" si="41"/>
        <v>0</v>
      </c>
      <c r="N173" s="88">
        <f t="shared" si="42"/>
        <v>9.5585123392422666</v>
      </c>
      <c r="O173" s="34">
        <v>260</v>
      </c>
      <c r="P173" s="23">
        <f t="shared" ref="P173:P174" si="47">O173</f>
        <v>260</v>
      </c>
      <c r="Q173" s="88">
        <f t="shared" si="43"/>
        <v>0</v>
      </c>
      <c r="R173" s="317" t="s">
        <v>1</v>
      </c>
      <c r="S173" s="328"/>
      <c r="T173" s="328"/>
      <c r="U173" s="1">
        <v>1</v>
      </c>
    </row>
    <row r="174" spans="1:25" s="6" customFormat="1" ht="14.25">
      <c r="A174" s="21">
        <v>7</v>
      </c>
      <c r="B174" s="22" t="s">
        <v>147</v>
      </c>
      <c r="C174" s="23">
        <v>18</v>
      </c>
      <c r="D174" s="23">
        <v>18</v>
      </c>
      <c r="E174" s="23">
        <f t="shared" si="44"/>
        <v>18</v>
      </c>
      <c r="F174" s="88">
        <f t="shared" si="39"/>
        <v>0</v>
      </c>
      <c r="G174" s="88">
        <f t="shared" si="40"/>
        <v>100</v>
      </c>
      <c r="H174" s="23">
        <v>100</v>
      </c>
      <c r="I174" s="23">
        <f t="shared" si="45"/>
        <v>100</v>
      </c>
      <c r="J174" s="23">
        <v>54333</v>
      </c>
      <c r="K174" s="34">
        <v>5541</v>
      </c>
      <c r="L174" s="23">
        <f t="shared" si="46"/>
        <v>5541</v>
      </c>
      <c r="M174" s="88">
        <f t="shared" si="41"/>
        <v>0</v>
      </c>
      <c r="N174" s="88">
        <f t="shared" si="42"/>
        <v>10.198222074982054</v>
      </c>
      <c r="O174" s="34">
        <v>227</v>
      </c>
      <c r="P174" s="23">
        <f t="shared" si="47"/>
        <v>227</v>
      </c>
      <c r="Q174" s="88">
        <f t="shared" si="43"/>
        <v>0</v>
      </c>
      <c r="R174" s="317" t="s">
        <v>1</v>
      </c>
      <c r="S174" s="328"/>
      <c r="T174" s="328"/>
      <c r="U174" s="1">
        <v>1</v>
      </c>
    </row>
    <row r="175" spans="1:25" s="6" customFormat="1" ht="14.25">
      <c r="A175" s="21">
        <v>8</v>
      </c>
      <c r="B175" s="22" t="s">
        <v>148</v>
      </c>
      <c r="C175" s="23">
        <v>12</v>
      </c>
      <c r="D175" s="34">
        <v>13</v>
      </c>
      <c r="E175" s="34">
        <f>'[3]1.RSP Districts '!E175</f>
        <v>14</v>
      </c>
      <c r="F175" s="88">
        <f t="shared" si="39"/>
        <v>7.6923076923076916</v>
      </c>
      <c r="G175" s="88">
        <f t="shared" si="40"/>
        <v>116.66666666666667</v>
      </c>
      <c r="H175" s="34">
        <v>108</v>
      </c>
      <c r="I175" s="34">
        <f>'[3]1.RSP Districts '!I175</f>
        <v>108</v>
      </c>
      <c r="J175" s="27">
        <v>26849.31506849315</v>
      </c>
      <c r="K175" s="34">
        <v>15923</v>
      </c>
      <c r="L175" s="34">
        <f>'[3]1.RSP Districts '!L175</f>
        <v>15923</v>
      </c>
      <c r="M175" s="88">
        <f t="shared" si="41"/>
        <v>0</v>
      </c>
      <c r="N175" s="88">
        <f t="shared" si="42"/>
        <v>59.305051020408165</v>
      </c>
      <c r="O175" s="34">
        <v>882</v>
      </c>
      <c r="P175" s="34">
        <f>'[3]1.RSP Districts '!P175</f>
        <v>882</v>
      </c>
      <c r="Q175" s="88">
        <f t="shared" si="43"/>
        <v>0</v>
      </c>
      <c r="R175" s="317" t="s">
        <v>5</v>
      </c>
      <c r="S175" s="34" t="str">
        <f>'[3]1.RSP Districts '!S175</f>
        <v>No</v>
      </c>
      <c r="T175" s="34">
        <f>'[3]1.RSP Districts '!T175</f>
        <v>1</v>
      </c>
      <c r="U175" s="1">
        <v>1</v>
      </c>
      <c r="Y175" s="201" t="e">
        <f>I175-'[4]1.RSP Districts '!I173</f>
        <v>#REF!</v>
      </c>
    </row>
    <row r="176" spans="1:25" s="6" customFormat="1" ht="14.25">
      <c r="A176" s="21">
        <v>9</v>
      </c>
      <c r="B176" s="22" t="s">
        <v>149</v>
      </c>
      <c r="C176" s="23">
        <v>22</v>
      </c>
      <c r="D176" s="23">
        <v>15</v>
      </c>
      <c r="E176" s="23">
        <f>D176</f>
        <v>15</v>
      </c>
      <c r="F176" s="88">
        <f t="shared" si="39"/>
        <v>0</v>
      </c>
      <c r="G176" s="88">
        <f t="shared" si="40"/>
        <v>68.181818181818187</v>
      </c>
      <c r="H176" s="23">
        <v>68.181818181818187</v>
      </c>
      <c r="I176" s="23">
        <f>H176</f>
        <v>68.181818181818187</v>
      </c>
      <c r="J176" s="23">
        <v>40208</v>
      </c>
      <c r="K176" s="34">
        <v>8596</v>
      </c>
      <c r="L176" s="23">
        <f>K176</f>
        <v>8596</v>
      </c>
      <c r="M176" s="88">
        <f t="shared" si="41"/>
        <v>0</v>
      </c>
      <c r="N176" s="88">
        <f t="shared" si="42"/>
        <v>21.378830083565461</v>
      </c>
      <c r="O176" s="34">
        <v>379</v>
      </c>
      <c r="P176" s="23">
        <f>O176</f>
        <v>379</v>
      </c>
      <c r="Q176" s="88">
        <f t="shared" si="43"/>
        <v>0</v>
      </c>
      <c r="R176" s="317" t="s">
        <v>1</v>
      </c>
      <c r="S176" s="328"/>
      <c r="T176" s="328"/>
      <c r="U176" s="1">
        <v>1</v>
      </c>
    </row>
    <row r="177" spans="1:25" s="6" customFormat="1" thickBot="1">
      <c r="A177" s="32">
        <v>10</v>
      </c>
      <c r="B177" s="33" t="s">
        <v>164</v>
      </c>
      <c r="C177" s="34">
        <v>8</v>
      </c>
      <c r="D177" s="34">
        <v>8</v>
      </c>
      <c r="E177" s="34">
        <f>'[3]1.RSP Districts '!E177</f>
        <v>8</v>
      </c>
      <c r="F177" s="119">
        <f t="shared" si="39"/>
        <v>0</v>
      </c>
      <c r="G177" s="119">
        <f t="shared" si="40"/>
        <v>100</v>
      </c>
      <c r="H177" s="34">
        <v>100</v>
      </c>
      <c r="I177" s="34">
        <f>'[3]1.RSP Districts '!I177</f>
        <v>100</v>
      </c>
      <c r="J177" s="35">
        <v>18651</v>
      </c>
      <c r="K177" s="34">
        <v>12968</v>
      </c>
      <c r="L177" s="34">
        <f>'[3]1.RSP Districts '!L177</f>
        <v>12968</v>
      </c>
      <c r="M177" s="119">
        <f t="shared" si="41"/>
        <v>0</v>
      </c>
      <c r="N177" s="119">
        <f t="shared" si="42"/>
        <v>69.529783925794874</v>
      </c>
      <c r="O177" s="34">
        <v>841</v>
      </c>
      <c r="P177" s="34">
        <f>'[3]1.RSP Districts '!P177</f>
        <v>841</v>
      </c>
      <c r="Q177" s="119">
        <f t="shared" si="43"/>
        <v>0</v>
      </c>
      <c r="R177" s="319" t="s">
        <v>5</v>
      </c>
      <c r="S177" s="34" t="str">
        <f>'[3]1.RSP Districts '!S177</f>
        <v>No</v>
      </c>
      <c r="T177" s="34">
        <f>'[3]1.RSP Districts '!T177</f>
        <v>1</v>
      </c>
      <c r="U177" s="1">
        <v>1</v>
      </c>
      <c r="Y177" s="201" t="e">
        <f>I177-'[4]1.RSP Districts '!I175</f>
        <v>#REF!</v>
      </c>
    </row>
    <row r="178" spans="1:25" s="4" customFormat="1" ht="15.75" thickBot="1">
      <c r="A178" s="131">
        <f>COUNTIF(R162:R177,"*")-6</f>
        <v>10</v>
      </c>
      <c r="B178" s="130" t="s">
        <v>33</v>
      </c>
      <c r="C178" s="49">
        <f>(C162+C164+C166+C168+C170+C172+C174+C175+C176+C177)</f>
        <v>196</v>
      </c>
      <c r="D178" s="49">
        <f>(D162+D165+D167+D169+D171+D172+D174+D175+D176+D177)</f>
        <v>180</v>
      </c>
      <c r="E178" s="49">
        <f>(E162+E165+E167+E169+E171+E172+E174+E175+E176+E177)</f>
        <v>181</v>
      </c>
      <c r="F178" s="132">
        <f t="shared" si="39"/>
        <v>0.55555555555555558</v>
      </c>
      <c r="G178" s="132">
        <f t="shared" si="40"/>
        <v>92.34693877551021</v>
      </c>
      <c r="H178" s="49">
        <f>SUM(H162:H177)</f>
        <v>1314.7233161575266</v>
      </c>
      <c r="I178" s="49">
        <f>SUM(I162:I177)</f>
        <v>1314.7233161575266</v>
      </c>
      <c r="J178" s="49">
        <f>(J162+J164+J166+J168+J170+J172+J174+J175+J176+J177)</f>
        <v>398969.65165781637</v>
      </c>
      <c r="K178" s="49">
        <f>SUM(K162:K177)</f>
        <v>296965</v>
      </c>
      <c r="L178" s="49">
        <f>SUM(L162:L177)</f>
        <v>296965</v>
      </c>
      <c r="M178" s="132">
        <f t="shared" si="41"/>
        <v>0</v>
      </c>
      <c r="N178" s="132">
        <f t="shared" si="42"/>
        <v>74.432979743205493</v>
      </c>
      <c r="O178" s="49">
        <f>SUM(O162:O177)</f>
        <v>15231</v>
      </c>
      <c r="P178" s="49">
        <f>SUM(P162:P177)</f>
        <v>15231</v>
      </c>
      <c r="Q178" s="132">
        <f t="shared" si="43"/>
        <v>0</v>
      </c>
      <c r="R178" s="313"/>
      <c r="S178" s="327"/>
      <c r="T178" s="327"/>
      <c r="U178" s="1">
        <v>1</v>
      </c>
    </row>
    <row r="179" spans="1:25" ht="13.5" customHeight="1" thickBot="1">
      <c r="A179" s="30"/>
      <c r="B179" s="31"/>
      <c r="C179" s="25"/>
      <c r="D179" s="25"/>
      <c r="E179" s="25"/>
      <c r="F179" s="89"/>
      <c r="G179" s="89"/>
      <c r="H179" s="89"/>
      <c r="I179" s="89"/>
      <c r="J179" s="25"/>
      <c r="K179" s="25"/>
      <c r="L179" s="25"/>
      <c r="M179" s="25"/>
      <c r="N179" s="25"/>
      <c r="O179" s="25"/>
      <c r="P179" s="25"/>
      <c r="Q179" s="25"/>
      <c r="R179" s="14"/>
      <c r="S179" s="325"/>
      <c r="T179" s="325"/>
      <c r="U179" s="1">
        <v>1</v>
      </c>
    </row>
    <row r="180" spans="1:25" s="5" customFormat="1" ht="14.25">
      <c r="A180" s="17" t="s">
        <v>150</v>
      </c>
      <c r="B180" s="18"/>
      <c r="C180" s="19"/>
      <c r="D180" s="26"/>
      <c r="E180" s="26"/>
      <c r="F180" s="90"/>
      <c r="G180" s="90"/>
      <c r="H180" s="90"/>
      <c r="I180" s="90"/>
      <c r="J180" s="19"/>
      <c r="K180" s="26"/>
      <c r="L180" s="26"/>
      <c r="M180" s="26"/>
      <c r="N180" s="26"/>
      <c r="O180" s="26"/>
      <c r="P180" s="26"/>
      <c r="Q180" s="26"/>
      <c r="R180" s="19"/>
      <c r="S180" s="326"/>
      <c r="T180" s="326"/>
      <c r="U180" s="1">
        <v>1</v>
      </c>
    </row>
    <row r="181" spans="1:25" s="6" customFormat="1" ht="14.25">
      <c r="A181" s="21">
        <v>1</v>
      </c>
      <c r="B181" s="22" t="s">
        <v>151</v>
      </c>
      <c r="C181" s="23">
        <v>8</v>
      </c>
      <c r="D181" s="23">
        <v>8</v>
      </c>
      <c r="E181" s="23">
        <f>'[10]1.RSP Districts '!E181</f>
        <v>8</v>
      </c>
      <c r="F181" s="88">
        <f t="shared" ref="F181:F188" si="48">(E181-D181)/D181%</f>
        <v>0</v>
      </c>
      <c r="G181" s="88">
        <f t="shared" ref="G181:G188" si="49">E181/C181%</f>
        <v>100</v>
      </c>
      <c r="H181" s="27">
        <v>44</v>
      </c>
      <c r="I181" s="23">
        <f>'[10]1.RSP Districts '!I181</f>
        <v>44</v>
      </c>
      <c r="J181" s="27">
        <v>10999.903096902348</v>
      </c>
      <c r="K181" s="23">
        <v>6444</v>
      </c>
      <c r="L181" s="23">
        <f>'[10]1.RSP Districts '!L181</f>
        <v>7618</v>
      </c>
      <c r="M181" s="88">
        <f t="shared" ref="M181:M188" si="50">(L181-K181)/K181%</f>
        <v>18.218497827436376</v>
      </c>
      <c r="N181" s="88">
        <f t="shared" ref="N181:N188" si="51">L181/J181%</f>
        <v>69.255155549009189</v>
      </c>
      <c r="O181" s="23">
        <v>333</v>
      </c>
      <c r="P181" s="23">
        <f>'[10]1.RSP Districts '!P181</f>
        <v>333</v>
      </c>
      <c r="Q181" s="88">
        <f t="shared" ref="Q181:Q188" si="52">(P181-O181)/O181%</f>
        <v>0</v>
      </c>
      <c r="R181" s="317" t="s">
        <v>2</v>
      </c>
      <c r="S181" s="23" t="str">
        <f>'[10]1.RSP Districts '!S181</f>
        <v>Yes</v>
      </c>
      <c r="T181" s="23"/>
      <c r="U181" s="1">
        <v>1</v>
      </c>
    </row>
    <row r="182" spans="1:25" s="6" customFormat="1" ht="14.25">
      <c r="A182" s="21">
        <v>2</v>
      </c>
      <c r="B182" s="22" t="s">
        <v>193</v>
      </c>
      <c r="C182" s="23">
        <v>9</v>
      </c>
      <c r="D182" s="23">
        <v>0</v>
      </c>
      <c r="E182" s="23"/>
      <c r="F182" s="88">
        <v>0</v>
      </c>
      <c r="G182" s="88">
        <f t="shared" si="49"/>
        <v>0</v>
      </c>
      <c r="H182" s="27">
        <v>0</v>
      </c>
      <c r="I182" s="23"/>
      <c r="J182" s="27">
        <v>0</v>
      </c>
      <c r="K182" s="23">
        <v>0</v>
      </c>
      <c r="L182" s="23"/>
      <c r="M182" s="88">
        <v>0</v>
      </c>
      <c r="N182" s="88">
        <v>0</v>
      </c>
      <c r="O182" s="23">
        <v>0</v>
      </c>
      <c r="P182" s="23"/>
      <c r="Q182" s="88">
        <v>0</v>
      </c>
      <c r="R182" s="24">
        <v>0</v>
      </c>
      <c r="S182" s="23"/>
      <c r="T182" s="23"/>
      <c r="U182" s="1">
        <v>1</v>
      </c>
    </row>
    <row r="183" spans="1:25" s="6" customFormat="1" ht="14.25">
      <c r="A183" s="21">
        <v>3</v>
      </c>
      <c r="B183" s="22" t="s">
        <v>152</v>
      </c>
      <c r="C183" s="23">
        <v>14</v>
      </c>
      <c r="D183" s="23">
        <v>14</v>
      </c>
      <c r="E183" s="23">
        <f>'[10]1.RSP Districts '!E183</f>
        <v>14</v>
      </c>
      <c r="F183" s="88">
        <f t="shared" si="48"/>
        <v>0</v>
      </c>
      <c r="G183" s="88">
        <f t="shared" si="49"/>
        <v>99.999999999999986</v>
      </c>
      <c r="H183" s="27">
        <v>56</v>
      </c>
      <c r="I183" s="23">
        <f>'[10]1.RSP Districts '!I183</f>
        <v>56</v>
      </c>
      <c r="J183" s="27">
        <v>18452.493081471035</v>
      </c>
      <c r="K183" s="23">
        <v>10401</v>
      </c>
      <c r="L183" s="23">
        <f>'[10]1.RSP Districts '!L183</f>
        <v>10634</v>
      </c>
      <c r="M183" s="88">
        <f t="shared" si="50"/>
        <v>2.2401692144986058</v>
      </c>
      <c r="N183" s="88">
        <f t="shared" si="51"/>
        <v>57.629069161814613</v>
      </c>
      <c r="O183" s="23">
        <v>469</v>
      </c>
      <c r="P183" s="23">
        <f>'[10]1.RSP Districts '!P183</f>
        <v>469</v>
      </c>
      <c r="Q183" s="88">
        <f t="shared" si="52"/>
        <v>0</v>
      </c>
      <c r="R183" s="317" t="s">
        <v>2</v>
      </c>
      <c r="S183" s="23" t="str">
        <f>'[10]1.RSP Districts '!S183</f>
        <v>Yes</v>
      </c>
      <c r="T183" s="23"/>
      <c r="U183" s="1">
        <v>1</v>
      </c>
    </row>
    <row r="184" spans="1:25" s="6" customFormat="1" ht="14.25">
      <c r="A184" s="21">
        <v>4</v>
      </c>
      <c r="B184" s="22" t="s">
        <v>153</v>
      </c>
      <c r="C184" s="23">
        <v>16</v>
      </c>
      <c r="D184" s="23">
        <v>16</v>
      </c>
      <c r="E184" s="23">
        <f>'[10]1.RSP Districts '!E184</f>
        <v>16</v>
      </c>
      <c r="F184" s="88">
        <f t="shared" si="48"/>
        <v>0</v>
      </c>
      <c r="G184" s="88">
        <f t="shared" si="49"/>
        <v>100</v>
      </c>
      <c r="H184" s="27">
        <v>80</v>
      </c>
      <c r="I184" s="23">
        <f>'[10]1.RSP Districts '!I184</f>
        <v>80</v>
      </c>
      <c r="J184" s="27">
        <v>13563.115170309828</v>
      </c>
      <c r="K184" s="23">
        <f>L184</f>
        <v>11624</v>
      </c>
      <c r="L184" s="23">
        <f>'[10]1.RSP Districts '!L184</f>
        <v>11624</v>
      </c>
      <c r="M184" s="88">
        <f t="shared" si="50"/>
        <v>0</v>
      </c>
      <c r="N184" s="88">
        <f t="shared" si="51"/>
        <v>85.703025109197441</v>
      </c>
      <c r="O184" s="23">
        <v>548</v>
      </c>
      <c r="P184" s="23">
        <f>'[10]1.RSP Districts '!P184</f>
        <v>548</v>
      </c>
      <c r="Q184" s="88">
        <f t="shared" si="52"/>
        <v>0</v>
      </c>
      <c r="R184" s="317" t="s">
        <v>2</v>
      </c>
      <c r="S184" s="23" t="str">
        <f>'[10]1.RSP Districts '!S184</f>
        <v>Yes</v>
      </c>
      <c r="T184" s="23"/>
      <c r="U184" s="1">
        <v>1</v>
      </c>
    </row>
    <row r="185" spans="1:25" s="6" customFormat="1" ht="14.25">
      <c r="A185" s="21">
        <v>5</v>
      </c>
      <c r="B185" s="22" t="s">
        <v>154</v>
      </c>
      <c r="C185" s="23">
        <v>10</v>
      </c>
      <c r="D185" s="23">
        <v>10</v>
      </c>
      <c r="E185" s="23">
        <f>'[10]1.RSP Districts '!E185</f>
        <v>10</v>
      </c>
      <c r="F185" s="88">
        <f t="shared" si="48"/>
        <v>0</v>
      </c>
      <c r="G185" s="88">
        <f t="shared" si="49"/>
        <v>100</v>
      </c>
      <c r="H185" s="27">
        <v>56</v>
      </c>
      <c r="I185" s="23">
        <f>'[10]1.RSP Districts '!I185</f>
        <v>56</v>
      </c>
      <c r="J185" s="27">
        <v>17721</v>
      </c>
      <c r="K185" s="23">
        <f>L185</f>
        <v>10639</v>
      </c>
      <c r="L185" s="23">
        <f>'[10]1.RSP Districts '!L185</f>
        <v>10639</v>
      </c>
      <c r="M185" s="88">
        <f t="shared" si="50"/>
        <v>0</v>
      </c>
      <c r="N185" s="88">
        <f t="shared" si="51"/>
        <v>60.036115343377908</v>
      </c>
      <c r="O185" s="23">
        <v>434</v>
      </c>
      <c r="P185" s="23">
        <f>'[10]1.RSP Districts '!P185</f>
        <v>434</v>
      </c>
      <c r="Q185" s="88">
        <f t="shared" si="52"/>
        <v>0</v>
      </c>
      <c r="R185" s="317" t="s">
        <v>2</v>
      </c>
      <c r="S185" s="23" t="str">
        <f>'[10]1.RSP Districts '!S185</f>
        <v>Yes</v>
      </c>
      <c r="T185" s="23"/>
      <c r="U185" s="1">
        <v>1</v>
      </c>
    </row>
    <row r="186" spans="1:25" s="6" customFormat="1" ht="14.25">
      <c r="A186" s="21">
        <v>6</v>
      </c>
      <c r="B186" s="22" t="s">
        <v>155</v>
      </c>
      <c r="C186" s="23">
        <v>15</v>
      </c>
      <c r="D186" s="23">
        <v>15</v>
      </c>
      <c r="E186" s="23">
        <f>'[10]1.RSP Districts '!E186</f>
        <v>15</v>
      </c>
      <c r="F186" s="88">
        <f t="shared" si="48"/>
        <v>0</v>
      </c>
      <c r="G186" s="88">
        <f t="shared" si="49"/>
        <v>100</v>
      </c>
      <c r="H186" s="27">
        <v>83</v>
      </c>
      <c r="I186" s="23">
        <f>'[10]1.RSP Districts '!I186</f>
        <v>83</v>
      </c>
      <c r="J186" s="27">
        <v>12779</v>
      </c>
      <c r="K186" s="23">
        <v>11965</v>
      </c>
      <c r="L186" s="23">
        <f>'[10]1.RSP Districts '!L186</f>
        <v>12966</v>
      </c>
      <c r="M186" s="88">
        <f t="shared" si="50"/>
        <v>8.3660676974508981</v>
      </c>
      <c r="N186" s="88">
        <f t="shared" si="51"/>
        <v>101.46333828938101</v>
      </c>
      <c r="O186" s="23">
        <v>507</v>
      </c>
      <c r="P186" s="23">
        <f>'[10]1.RSP Districts '!P186</f>
        <v>507</v>
      </c>
      <c r="Q186" s="88">
        <f t="shared" si="52"/>
        <v>0</v>
      </c>
      <c r="R186" s="317" t="s">
        <v>2</v>
      </c>
      <c r="S186" s="23" t="str">
        <f>'[10]1.RSP Districts '!S186</f>
        <v>Yes</v>
      </c>
      <c r="T186" s="23"/>
      <c r="U186" s="1">
        <v>1</v>
      </c>
    </row>
    <row r="187" spans="1:25" s="6" customFormat="1" thickBot="1">
      <c r="A187" s="32">
        <v>7</v>
      </c>
      <c r="B187" s="33" t="s">
        <v>156</v>
      </c>
      <c r="C187" s="34">
        <v>31</v>
      </c>
      <c r="D187" s="34">
        <v>31</v>
      </c>
      <c r="E187" s="23">
        <f>'[10]1.RSP Districts '!E187</f>
        <v>31</v>
      </c>
      <c r="F187" s="119">
        <f t="shared" si="48"/>
        <v>0</v>
      </c>
      <c r="G187" s="119">
        <f t="shared" si="49"/>
        <v>100</v>
      </c>
      <c r="H187" s="35">
        <v>167</v>
      </c>
      <c r="I187" s="23">
        <f>'[10]1.RSP Districts '!I187</f>
        <v>167</v>
      </c>
      <c r="J187" s="35">
        <v>35134.322614801174</v>
      </c>
      <c r="K187" s="34">
        <v>23627</v>
      </c>
      <c r="L187" s="23">
        <f>'[10]1.RSP Districts '!L187</f>
        <v>25342</v>
      </c>
      <c r="M187" s="119">
        <f t="shared" si="50"/>
        <v>7.2586447708130528</v>
      </c>
      <c r="N187" s="119">
        <f t="shared" si="51"/>
        <v>72.1288987917589</v>
      </c>
      <c r="O187" s="23">
        <v>1093</v>
      </c>
      <c r="P187" s="23">
        <f>'[10]1.RSP Districts '!P187</f>
        <v>1093</v>
      </c>
      <c r="Q187" s="119">
        <f t="shared" si="52"/>
        <v>0</v>
      </c>
      <c r="R187" s="319" t="s">
        <v>2</v>
      </c>
      <c r="S187" s="23" t="str">
        <f>'[10]1.RSP Districts '!S187</f>
        <v>Yes</v>
      </c>
      <c r="T187" s="23"/>
      <c r="U187" s="1">
        <v>1</v>
      </c>
    </row>
    <row r="188" spans="1:25" s="4" customFormat="1" ht="15.75" thickBot="1">
      <c r="A188" s="131">
        <f>COUNTIF(R181:R187,"*")</f>
        <v>6</v>
      </c>
      <c r="B188" s="130" t="s">
        <v>33</v>
      </c>
      <c r="C188" s="49">
        <f>SUM(C181:C187)</f>
        <v>103</v>
      </c>
      <c r="D188" s="49">
        <f>SUM(D181:D187)</f>
        <v>94</v>
      </c>
      <c r="E188" s="49">
        <f>SUM(E181:E187)</f>
        <v>94</v>
      </c>
      <c r="F188" s="132">
        <f t="shared" si="48"/>
        <v>0</v>
      </c>
      <c r="G188" s="132">
        <f t="shared" si="49"/>
        <v>91.262135922330089</v>
      </c>
      <c r="H188" s="49">
        <f>SUM(H181:H187)</f>
        <v>486</v>
      </c>
      <c r="I188" s="49">
        <f>SUM(I181:I187)</f>
        <v>486</v>
      </c>
      <c r="J188" s="49">
        <f>SUM(J181:J187)</f>
        <v>108649.83396348439</v>
      </c>
      <c r="K188" s="49">
        <f>SUM(K181:K187)</f>
        <v>74700</v>
      </c>
      <c r="L188" s="49">
        <f>SUM(L181:L187)</f>
        <v>78823</v>
      </c>
      <c r="M188" s="132">
        <f t="shared" si="50"/>
        <v>5.5194109772423028</v>
      </c>
      <c r="N188" s="132">
        <f t="shared" si="51"/>
        <v>72.547740870447399</v>
      </c>
      <c r="O188" s="49">
        <f>SUM(O181:O187)</f>
        <v>3384</v>
      </c>
      <c r="P188" s="49">
        <f>SUM(P181:P187)</f>
        <v>3384</v>
      </c>
      <c r="Q188" s="132">
        <f t="shared" si="52"/>
        <v>0</v>
      </c>
      <c r="R188" s="313"/>
      <c r="S188" s="327"/>
      <c r="T188" s="327"/>
      <c r="U188" s="1">
        <v>1</v>
      </c>
    </row>
    <row r="189" spans="1:25" s="4" customFormat="1" ht="10.5" customHeight="1" thickBot="1">
      <c r="A189" s="37"/>
      <c r="B189" s="38"/>
      <c r="C189" s="39"/>
      <c r="D189" s="25"/>
      <c r="E189" s="25"/>
      <c r="F189" s="129"/>
      <c r="G189" s="91"/>
      <c r="H189" s="91"/>
      <c r="I189" s="91"/>
      <c r="J189" s="39"/>
      <c r="K189" s="40"/>
      <c r="L189" s="40"/>
      <c r="M189" s="40"/>
      <c r="N189" s="40"/>
      <c r="O189" s="40"/>
      <c r="P189" s="40"/>
      <c r="Q189" s="40"/>
      <c r="R189" s="320"/>
      <c r="S189" s="327"/>
      <c r="T189" s="327"/>
      <c r="U189" s="1">
        <v>1</v>
      </c>
    </row>
    <row r="190" spans="1:25" s="5" customFormat="1" ht="14.25">
      <c r="A190" s="17" t="s">
        <v>208</v>
      </c>
      <c r="B190" s="18"/>
      <c r="C190" s="19"/>
      <c r="D190" s="26"/>
      <c r="E190" s="26"/>
      <c r="F190" s="90"/>
      <c r="G190" s="90"/>
      <c r="H190" s="90"/>
      <c r="I190" s="90"/>
      <c r="J190" s="19"/>
      <c r="K190" s="26"/>
      <c r="L190" s="26"/>
      <c r="M190" s="26"/>
      <c r="N190" s="26"/>
      <c r="O190" s="26"/>
      <c r="P190" s="26"/>
      <c r="Q190" s="26"/>
      <c r="R190" s="19"/>
      <c r="S190" s="326"/>
      <c r="T190" s="326"/>
      <c r="U190" s="1">
        <v>1</v>
      </c>
    </row>
    <row r="191" spans="1:25" s="6" customFormat="1" ht="14.25">
      <c r="A191" s="80">
        <v>1</v>
      </c>
      <c r="B191" s="22" t="s">
        <v>192</v>
      </c>
      <c r="C191" s="50">
        <v>37</v>
      </c>
      <c r="D191" s="23">
        <v>3</v>
      </c>
      <c r="E191" s="23">
        <f>'[7]1.RSP Districts '!E191</f>
        <v>3</v>
      </c>
      <c r="F191" s="88">
        <f t="shared" ref="F191" si="53">(E191-D191)/D191%</f>
        <v>0</v>
      </c>
      <c r="G191" s="88">
        <f t="shared" ref="G191:G204" si="54">E191/C191%</f>
        <v>8.1081081081081088</v>
      </c>
      <c r="H191" s="23">
        <v>78</v>
      </c>
      <c r="I191" s="23">
        <f>'[7]1.RSP Districts '!I191</f>
        <v>78</v>
      </c>
      <c r="J191" s="50">
        <v>65409.560439560439</v>
      </c>
      <c r="K191" s="23">
        <v>4335</v>
      </c>
      <c r="L191" s="23">
        <f>'[7]1.RSP Districts '!L191</f>
        <v>4335</v>
      </c>
      <c r="M191" s="88">
        <f>(L191-K191)/K191%</f>
        <v>0</v>
      </c>
      <c r="N191" s="88">
        <f t="shared" ref="N191" si="55">L191/J191%</f>
        <v>6.6274715360694323</v>
      </c>
      <c r="O191" s="23">
        <v>157</v>
      </c>
      <c r="P191" s="23">
        <f>'[7]1.RSP Districts '!P191</f>
        <v>157</v>
      </c>
      <c r="Q191" s="88">
        <f>(P191-O191)/O191%</f>
        <v>0</v>
      </c>
      <c r="R191" s="317" t="s">
        <v>9</v>
      </c>
      <c r="S191" s="23">
        <f>'[7]1.RSP Districts '!S191</f>
        <v>0</v>
      </c>
      <c r="T191" s="23">
        <f>'[7]1.RSP Districts '!T191</f>
        <v>0</v>
      </c>
      <c r="U191" s="1">
        <v>1</v>
      </c>
      <c r="V191" s="201">
        <f>I191-'[8]1.RSP Districts '!I189</f>
        <v>78</v>
      </c>
      <c r="W191" s="201">
        <f>P191-'[9]1.RSP Districts '!$P$43</f>
        <v>157</v>
      </c>
    </row>
    <row r="192" spans="1:25" s="6" customFormat="1" ht="14.25">
      <c r="A192" s="80">
        <v>2</v>
      </c>
      <c r="B192" s="22" t="s">
        <v>182</v>
      </c>
      <c r="C192" s="50">
        <v>28</v>
      </c>
      <c r="D192" s="50"/>
      <c r="E192" s="50"/>
      <c r="F192" s="88"/>
      <c r="G192" s="88">
        <f t="shared" si="54"/>
        <v>0</v>
      </c>
      <c r="H192" s="88"/>
      <c r="I192" s="88"/>
      <c r="J192" s="50">
        <v>55225.252525252523</v>
      </c>
      <c r="K192" s="23"/>
      <c r="L192" s="50"/>
      <c r="M192" s="88">
        <v>0</v>
      </c>
      <c r="N192" s="88">
        <v>0</v>
      </c>
      <c r="O192" s="23"/>
      <c r="P192" s="85"/>
      <c r="Q192" s="88">
        <v>0</v>
      </c>
      <c r="R192" s="85">
        <v>0</v>
      </c>
      <c r="S192" s="50"/>
      <c r="T192" s="50"/>
      <c r="U192" s="1">
        <v>1</v>
      </c>
    </row>
    <row r="193" spans="1:23" s="6" customFormat="1" ht="14.25">
      <c r="A193" s="80">
        <v>3</v>
      </c>
      <c r="B193" s="22" t="s">
        <v>157</v>
      </c>
      <c r="C193" s="23">
        <v>23</v>
      </c>
      <c r="D193" s="23">
        <v>3</v>
      </c>
      <c r="E193" s="23">
        <f>'[7]1.RSP Districts '!E193</f>
        <v>3</v>
      </c>
      <c r="F193" s="88">
        <f>(E193-D193)/D193%</f>
        <v>0</v>
      </c>
      <c r="G193" s="88">
        <f t="shared" si="54"/>
        <v>13.043478260869565</v>
      </c>
      <c r="H193" s="23">
        <v>0</v>
      </c>
      <c r="I193" s="23">
        <f>'[7]1.RSP Districts '!I193</f>
        <v>0</v>
      </c>
      <c r="J193" s="23">
        <v>42293.396226415098</v>
      </c>
      <c r="K193" s="23">
        <v>4714</v>
      </c>
      <c r="L193" s="23">
        <f>'[7]1.RSP Districts '!L193</f>
        <v>4714</v>
      </c>
      <c r="M193" s="88">
        <f>(L193-K193)/K193%</f>
        <v>0</v>
      </c>
      <c r="N193" s="88">
        <f t="shared" ref="N193" si="56">L193/J193%</f>
        <v>11.145948116258838</v>
      </c>
      <c r="O193" s="23">
        <v>145</v>
      </c>
      <c r="P193" s="23">
        <f>'[7]1.RSP Districts '!P193</f>
        <v>145</v>
      </c>
      <c r="Q193" s="88">
        <f t="shared" ref="Q193:Q194" si="57">(P193-O193)/O193%</f>
        <v>0</v>
      </c>
      <c r="R193" s="317" t="s">
        <v>9</v>
      </c>
      <c r="S193" s="23">
        <f>'[7]1.RSP Districts '!S193</f>
        <v>0</v>
      </c>
      <c r="T193" s="23">
        <f>'[7]1.RSP Districts '!T193</f>
        <v>0</v>
      </c>
      <c r="U193" s="1">
        <v>1</v>
      </c>
      <c r="V193" s="201">
        <f>I193-'[8]1.RSP Districts '!I191</f>
        <v>0</v>
      </c>
      <c r="W193" s="201">
        <f>P193-'[9]1.RSP Districts '!$P$43</f>
        <v>145</v>
      </c>
    </row>
    <row r="194" spans="1:23" s="6" customFormat="1" ht="14.25">
      <c r="A194" s="80">
        <v>4</v>
      </c>
      <c r="B194" s="22" t="s">
        <v>183</v>
      </c>
      <c r="C194" s="23">
        <v>21</v>
      </c>
      <c r="D194" s="23">
        <v>3</v>
      </c>
      <c r="E194" s="23">
        <f>'[7]1.RSP Districts '!E194</f>
        <v>3</v>
      </c>
      <c r="F194" s="88">
        <f t="shared" ref="F194:F202" si="58">(E194-D194)/D194%</f>
        <v>0</v>
      </c>
      <c r="G194" s="88">
        <f t="shared" si="54"/>
        <v>14.285714285714286</v>
      </c>
      <c r="H194" s="23">
        <v>78</v>
      </c>
      <c r="I194" s="23">
        <f>'[7]1.RSP Districts '!I194</f>
        <v>78</v>
      </c>
      <c r="J194" s="50">
        <v>37161.444444444445</v>
      </c>
      <c r="K194" s="23">
        <v>4265</v>
      </c>
      <c r="L194" s="23">
        <f>'[7]1.RSP Districts '!L194</f>
        <v>4265</v>
      </c>
      <c r="M194" s="88">
        <f>(L194-K194)/K194%</f>
        <v>0</v>
      </c>
      <c r="N194" s="88">
        <f t="shared" ref="N194" si="59">L194/J194%</f>
        <v>11.476948928549003</v>
      </c>
      <c r="O194" s="23">
        <v>139</v>
      </c>
      <c r="P194" s="23">
        <f>'[7]1.RSP Districts '!P194</f>
        <v>139</v>
      </c>
      <c r="Q194" s="88">
        <f t="shared" si="57"/>
        <v>0</v>
      </c>
      <c r="R194" s="317" t="s">
        <v>9</v>
      </c>
      <c r="S194" s="23">
        <f>'[7]1.RSP Districts '!S194</f>
        <v>0</v>
      </c>
      <c r="T194" s="23">
        <f>'[7]1.RSP Districts '!T194</f>
        <v>0</v>
      </c>
      <c r="U194" s="1">
        <v>1</v>
      </c>
      <c r="V194" s="201">
        <f>I194-'[8]1.RSP Districts '!I192</f>
        <v>78</v>
      </c>
      <c r="W194" s="201">
        <f>P194-'[9]1.RSP Districts '!$P$43</f>
        <v>139</v>
      </c>
    </row>
    <row r="195" spans="1:23" s="6" customFormat="1" ht="14.25">
      <c r="A195" s="80">
        <v>5</v>
      </c>
      <c r="B195" s="22" t="s">
        <v>184</v>
      </c>
      <c r="C195" s="23">
        <v>22</v>
      </c>
      <c r="D195" s="50"/>
      <c r="E195" s="50"/>
      <c r="F195" s="88"/>
      <c r="G195" s="88">
        <f t="shared" si="54"/>
        <v>0</v>
      </c>
      <c r="H195" s="88"/>
      <c r="I195" s="88"/>
      <c r="J195" s="50">
        <v>39697.362637362639</v>
      </c>
      <c r="K195" s="23"/>
      <c r="L195" s="50"/>
      <c r="M195" s="88">
        <v>0</v>
      </c>
      <c r="N195" s="88">
        <v>0</v>
      </c>
      <c r="O195" s="23"/>
      <c r="P195" s="23"/>
      <c r="Q195" s="88">
        <v>0</v>
      </c>
      <c r="R195" s="85">
        <v>0</v>
      </c>
      <c r="S195" s="50"/>
      <c r="T195" s="50"/>
      <c r="U195" s="1">
        <v>1</v>
      </c>
    </row>
    <row r="196" spans="1:23" s="6" customFormat="1" ht="14.25">
      <c r="A196" s="80">
        <v>6</v>
      </c>
      <c r="B196" s="22" t="s">
        <v>185</v>
      </c>
      <c r="C196" s="23">
        <v>15</v>
      </c>
      <c r="D196" s="50"/>
      <c r="E196" s="50"/>
      <c r="F196" s="88"/>
      <c r="G196" s="88">
        <v>0</v>
      </c>
      <c r="H196" s="88"/>
      <c r="I196" s="88"/>
      <c r="J196" s="50">
        <v>25618.295454545452</v>
      </c>
      <c r="K196" s="23"/>
      <c r="L196" s="50"/>
      <c r="M196" s="88">
        <v>0</v>
      </c>
      <c r="N196" s="88">
        <v>0</v>
      </c>
      <c r="O196" s="23"/>
      <c r="P196" s="23"/>
      <c r="Q196" s="88">
        <v>0</v>
      </c>
      <c r="R196" s="85">
        <v>0</v>
      </c>
      <c r="S196" s="50"/>
      <c r="T196" s="50"/>
      <c r="U196" s="1">
        <v>1</v>
      </c>
    </row>
    <row r="197" spans="1:23" s="6" customFormat="1" ht="14.25">
      <c r="A197" s="80">
        <v>7</v>
      </c>
      <c r="B197" s="22" t="s">
        <v>186</v>
      </c>
      <c r="C197" s="23">
        <v>29</v>
      </c>
      <c r="D197" s="23">
        <v>3</v>
      </c>
      <c r="E197" s="23">
        <f>'[7]1.RSP Districts '!E197</f>
        <v>3</v>
      </c>
      <c r="F197" s="88">
        <f t="shared" si="58"/>
        <v>0</v>
      </c>
      <c r="G197" s="88">
        <f t="shared" si="54"/>
        <v>10.344827586206897</v>
      </c>
      <c r="H197" s="23">
        <v>78</v>
      </c>
      <c r="I197" s="23">
        <f>'[7]1.RSP Districts '!I197</f>
        <v>78</v>
      </c>
      <c r="J197" s="50">
        <v>50569.529411764706</v>
      </c>
      <c r="K197" s="23">
        <v>3941</v>
      </c>
      <c r="L197" s="23">
        <f>'[7]1.RSP Districts '!L197</f>
        <v>3941</v>
      </c>
      <c r="M197" s="88">
        <f t="shared" ref="M197:M202" si="60">(L197-K197)/K197%</f>
        <v>0</v>
      </c>
      <c r="N197" s="88">
        <f t="shared" ref="N197" si="61">L197/J197%</f>
        <v>7.7932305201225569</v>
      </c>
      <c r="O197" s="23">
        <v>156</v>
      </c>
      <c r="P197" s="23">
        <f>'[7]1.RSP Districts '!P197</f>
        <v>156</v>
      </c>
      <c r="Q197" s="88">
        <f>(P197-O197)/O197%</f>
        <v>0</v>
      </c>
      <c r="R197" s="317" t="s">
        <v>9</v>
      </c>
      <c r="S197" s="23">
        <f>'[7]1.RSP Districts '!S197</f>
        <v>0</v>
      </c>
      <c r="T197" s="23">
        <f>'[7]1.RSP Districts '!T197</f>
        <v>0</v>
      </c>
      <c r="U197" s="1">
        <v>1</v>
      </c>
      <c r="V197" s="201">
        <f>I197-'[8]1.RSP Districts '!I195</f>
        <v>78</v>
      </c>
      <c r="W197" s="201">
        <f>P197-'[9]1.RSP Districts '!$P$43</f>
        <v>156</v>
      </c>
    </row>
    <row r="198" spans="1:23" s="6" customFormat="1" ht="14.25">
      <c r="A198" s="80">
        <v>8</v>
      </c>
      <c r="B198" s="22" t="s">
        <v>187</v>
      </c>
      <c r="C198" s="23">
        <v>1</v>
      </c>
      <c r="D198" s="50"/>
      <c r="E198" s="50"/>
      <c r="F198" s="88"/>
      <c r="G198" s="88">
        <v>0</v>
      </c>
      <c r="H198" s="88"/>
      <c r="I198" s="88"/>
      <c r="J198" s="50">
        <v>931.6</v>
      </c>
      <c r="K198" s="23"/>
      <c r="L198" s="50"/>
      <c r="M198" s="88">
        <v>0</v>
      </c>
      <c r="N198" s="88">
        <v>0</v>
      </c>
      <c r="O198" s="23"/>
      <c r="P198" s="23"/>
      <c r="Q198" s="88">
        <v>0</v>
      </c>
      <c r="R198" s="85">
        <v>0</v>
      </c>
      <c r="S198" s="50"/>
      <c r="T198" s="50"/>
      <c r="U198" s="1">
        <v>1</v>
      </c>
    </row>
    <row r="199" spans="1:23" s="6" customFormat="1" ht="14.25">
      <c r="A199" s="80">
        <v>9</v>
      </c>
      <c r="B199" s="22" t="s">
        <v>188</v>
      </c>
      <c r="C199" s="23">
        <v>1</v>
      </c>
      <c r="D199" s="50"/>
      <c r="E199" s="50"/>
      <c r="F199" s="88"/>
      <c r="G199" s="88">
        <f t="shared" si="54"/>
        <v>0</v>
      </c>
      <c r="H199" s="88"/>
      <c r="I199" s="88"/>
      <c r="J199" s="50">
        <v>2040.9375</v>
      </c>
      <c r="K199" s="23"/>
      <c r="L199" s="50"/>
      <c r="M199" s="88">
        <v>0</v>
      </c>
      <c r="N199" s="88">
        <v>0</v>
      </c>
      <c r="O199" s="23"/>
      <c r="P199" s="23"/>
      <c r="Q199" s="88">
        <v>0</v>
      </c>
      <c r="R199" s="85">
        <v>0</v>
      </c>
      <c r="S199" s="50"/>
      <c r="T199" s="50"/>
      <c r="U199" s="1">
        <v>1</v>
      </c>
    </row>
    <row r="200" spans="1:23" s="6" customFormat="1" ht="14.25">
      <c r="A200" s="80">
        <v>10</v>
      </c>
      <c r="B200" s="22" t="s">
        <v>189</v>
      </c>
      <c r="C200" s="23">
        <v>3</v>
      </c>
      <c r="D200" s="50"/>
      <c r="E200" s="50"/>
      <c r="F200" s="88"/>
      <c r="G200" s="88">
        <v>0</v>
      </c>
      <c r="H200" s="88"/>
      <c r="I200" s="88"/>
      <c r="J200" s="50">
        <v>5491.5492957746483</v>
      </c>
      <c r="K200" s="23"/>
      <c r="L200" s="50"/>
      <c r="M200" s="88">
        <v>0</v>
      </c>
      <c r="N200" s="88">
        <v>0</v>
      </c>
      <c r="O200" s="23"/>
      <c r="P200" s="23"/>
      <c r="Q200" s="88">
        <v>0</v>
      </c>
      <c r="R200" s="85">
        <v>0</v>
      </c>
      <c r="S200" s="50"/>
      <c r="T200" s="50"/>
      <c r="U200" s="1">
        <v>1</v>
      </c>
    </row>
    <row r="201" spans="1:23" s="6" customFormat="1" ht="14.25">
      <c r="A201" s="80">
        <v>11</v>
      </c>
      <c r="B201" s="22" t="s">
        <v>190</v>
      </c>
      <c r="C201" s="23">
        <v>5</v>
      </c>
      <c r="D201" s="50"/>
      <c r="E201" s="50"/>
      <c r="F201" s="88"/>
      <c r="G201" s="88">
        <f t="shared" si="54"/>
        <v>0</v>
      </c>
      <c r="H201" s="88"/>
      <c r="I201" s="88"/>
      <c r="J201" s="50">
        <v>9511.3978494623643</v>
      </c>
      <c r="K201" s="23"/>
      <c r="L201" s="50"/>
      <c r="M201" s="88">
        <v>0</v>
      </c>
      <c r="N201" s="88">
        <v>0</v>
      </c>
      <c r="O201" s="23"/>
      <c r="P201" s="23"/>
      <c r="Q201" s="88">
        <v>0</v>
      </c>
      <c r="R201" s="85">
        <v>0</v>
      </c>
      <c r="S201" s="50"/>
      <c r="T201" s="50"/>
      <c r="U201" s="1">
        <v>1</v>
      </c>
    </row>
    <row r="202" spans="1:23" s="6" customFormat="1" ht="14.25">
      <c r="A202" s="80">
        <v>12</v>
      </c>
      <c r="B202" s="41" t="s">
        <v>158</v>
      </c>
      <c r="C202" s="23">
        <v>3</v>
      </c>
      <c r="D202" s="23">
        <v>3</v>
      </c>
      <c r="E202" s="23">
        <f>'[7]1.RSP Districts '!E202</f>
        <v>3</v>
      </c>
      <c r="F202" s="88">
        <f t="shared" si="58"/>
        <v>0</v>
      </c>
      <c r="G202" s="88">
        <f t="shared" si="54"/>
        <v>100</v>
      </c>
      <c r="H202" s="23">
        <v>0</v>
      </c>
      <c r="I202" s="23">
        <f>'[7]1.RSP Districts '!I202</f>
        <v>0</v>
      </c>
      <c r="J202" s="23">
        <v>6118.295454545454</v>
      </c>
      <c r="K202" s="23">
        <v>1738</v>
      </c>
      <c r="L202" s="23">
        <f>'[7]1.RSP Districts '!L202</f>
        <v>1738</v>
      </c>
      <c r="M202" s="88">
        <f t="shared" si="60"/>
        <v>0</v>
      </c>
      <c r="N202" s="88">
        <f t="shared" ref="N202" si="62">L202/J202%</f>
        <v>28.406604632157652</v>
      </c>
      <c r="O202" s="23">
        <v>116</v>
      </c>
      <c r="P202" s="23">
        <f>'[7]1.RSP Districts '!P202</f>
        <v>116</v>
      </c>
      <c r="Q202" s="88">
        <f>(P202-O202)/O202%</f>
        <v>0</v>
      </c>
      <c r="R202" s="317" t="s">
        <v>9</v>
      </c>
      <c r="S202" s="23">
        <f>'[7]1.RSP Districts '!S202</f>
        <v>0</v>
      </c>
      <c r="T202" s="23">
        <f>'[7]1.RSP Districts '!T202</f>
        <v>0</v>
      </c>
      <c r="U202" s="1">
        <v>1</v>
      </c>
      <c r="V202" s="201">
        <f>I202-'[8]1.RSP Districts '!I200</f>
        <v>0</v>
      </c>
      <c r="W202" s="201">
        <f>P202-'[9]1.RSP Districts '!$P$43</f>
        <v>116</v>
      </c>
    </row>
    <row r="203" spans="1:23" s="6" customFormat="1" thickBot="1">
      <c r="A203" s="128">
        <v>13</v>
      </c>
      <c r="B203" s="33" t="s">
        <v>191</v>
      </c>
      <c r="C203" s="34">
        <v>2</v>
      </c>
      <c r="D203" s="127"/>
      <c r="E203" s="127"/>
      <c r="F203" s="88"/>
      <c r="G203" s="119">
        <f t="shared" si="54"/>
        <v>0</v>
      </c>
      <c r="H203" s="119"/>
      <c r="I203" s="119"/>
      <c r="J203" s="127">
        <v>3581.0526315789475</v>
      </c>
      <c r="K203" s="23"/>
      <c r="L203" s="127"/>
      <c r="M203" s="88">
        <v>0</v>
      </c>
      <c r="N203" s="119">
        <v>0</v>
      </c>
      <c r="O203" s="23"/>
      <c r="P203" s="126"/>
      <c r="Q203" s="119">
        <v>0</v>
      </c>
      <c r="R203" s="126">
        <v>0</v>
      </c>
      <c r="S203" s="50"/>
      <c r="T203" s="50"/>
      <c r="U203" s="1">
        <v>1</v>
      </c>
    </row>
    <row r="204" spans="1:23" s="4" customFormat="1" ht="15.75" thickBot="1">
      <c r="A204" s="131">
        <f>COUNTIF(R191:R203,"*")</f>
        <v>5</v>
      </c>
      <c r="B204" s="130" t="s">
        <v>33</v>
      </c>
      <c r="C204" s="49">
        <f>SUM(C191:C203)</f>
        <v>190</v>
      </c>
      <c r="D204" s="49">
        <f>SUM(D191:D203)</f>
        <v>15</v>
      </c>
      <c r="E204" s="49">
        <f>SUM(E191:E203)</f>
        <v>15</v>
      </c>
      <c r="F204" s="132">
        <f>(E204-D204)/D204%</f>
        <v>0</v>
      </c>
      <c r="G204" s="132">
        <f t="shared" si="54"/>
        <v>7.8947368421052637</v>
      </c>
      <c r="H204" s="49">
        <f>SUM(H191:H203)</f>
        <v>234</v>
      </c>
      <c r="I204" s="49">
        <f>SUM(I191:I203)</f>
        <v>234</v>
      </c>
      <c r="J204" s="49">
        <f>SUM(J191:J203)</f>
        <v>343649.6738707067</v>
      </c>
      <c r="K204" s="49">
        <f>SUM(K191:K203)</f>
        <v>18993</v>
      </c>
      <c r="L204" s="49">
        <f>SUM(L191:L203)</f>
        <v>18993</v>
      </c>
      <c r="M204" s="132">
        <f>(L204-K204)/K204%</f>
        <v>0</v>
      </c>
      <c r="N204" s="132">
        <f>L204/J204%</f>
        <v>5.5268494179179246</v>
      </c>
      <c r="O204" s="49">
        <f>SUM(O191:O203)</f>
        <v>713</v>
      </c>
      <c r="P204" s="49">
        <f>SUM(P191:P203)</f>
        <v>713</v>
      </c>
      <c r="Q204" s="132">
        <f>(P204-O204)/O204%</f>
        <v>0</v>
      </c>
      <c r="R204" s="313"/>
      <c r="S204" s="327"/>
      <c r="T204" s="327"/>
      <c r="U204" s="1">
        <v>1</v>
      </c>
    </row>
    <row r="205" spans="1:23" s="4" customFormat="1" ht="6.75" customHeight="1" thickBot="1">
      <c r="A205" s="30"/>
      <c r="B205" s="42"/>
      <c r="C205" s="30"/>
      <c r="D205" s="25"/>
      <c r="E205" s="25"/>
      <c r="F205" s="89"/>
      <c r="G205" s="89"/>
      <c r="H205" s="89"/>
      <c r="I205" s="89"/>
      <c r="J205" s="30"/>
      <c r="K205" s="25"/>
      <c r="L205" s="25"/>
      <c r="M205" s="25"/>
      <c r="N205" s="25"/>
      <c r="O205" s="25"/>
      <c r="P205" s="25"/>
      <c r="Q205" s="25"/>
      <c r="R205" s="43"/>
      <c r="S205" s="327"/>
      <c r="T205" s="327"/>
      <c r="U205" s="1">
        <v>1</v>
      </c>
    </row>
    <row r="206" spans="1:23" s="4" customFormat="1" ht="13.5" customHeight="1" thickBot="1">
      <c r="A206" s="44">
        <f>(A40+A77+A104+A159+A178+A188+A7+A204)</f>
        <v>121</v>
      </c>
      <c r="B206" s="45" t="s">
        <v>159</v>
      </c>
      <c r="C206" s="49">
        <f>C40+C77+C104+C159+C178+C188+C7+C204</f>
        <v>5568</v>
      </c>
      <c r="D206" s="49">
        <f>D40+D77+D104+D159+D178+D188+D7+D204</f>
        <v>3617</v>
      </c>
      <c r="E206" s="49">
        <f>E40+E77+E104+E159+E178+E188+E7+E204</f>
        <v>3648</v>
      </c>
      <c r="F206" s="132">
        <f>(E206-D206)/D206%</f>
        <v>0.8570638650815593</v>
      </c>
      <c r="G206" s="132">
        <f>E206/C206%</f>
        <v>65.517241379310349</v>
      </c>
      <c r="H206" s="49">
        <f>H40+H77+H104+H159+H178+H188+H7+H204</f>
        <v>28398.723316157528</v>
      </c>
      <c r="I206" s="49">
        <f>I40+I77+I104+I159+I178+I188+I7+I204</f>
        <v>28801.723316157528</v>
      </c>
      <c r="J206" s="49">
        <f>J40+J77+J104+J159+J178+J188+J7+J204</f>
        <v>12479974.528189642</v>
      </c>
      <c r="K206" s="49">
        <f>K40+K77+K104+K159+K178+K188+K7+K204</f>
        <v>5893239</v>
      </c>
      <c r="L206" s="49">
        <f>L40+L77+L104+L159+L178+L188+L7+L204</f>
        <v>5993888</v>
      </c>
      <c r="M206" s="132">
        <f>(L206-K206)/K206%</f>
        <v>1.7078723601740911</v>
      </c>
      <c r="N206" s="132">
        <f>L206/J206%</f>
        <v>48.028046743693793</v>
      </c>
      <c r="O206" s="49">
        <f>O40+O77+O104+O159+O178+O188+O7+O204</f>
        <v>354076</v>
      </c>
      <c r="P206" s="49">
        <f>P40+P77+P104+P159+P178+P188+P7+P204</f>
        <v>359085</v>
      </c>
      <c r="Q206" s="132">
        <f>(P206-O206)/O206%</f>
        <v>1.4146680373705078</v>
      </c>
      <c r="R206" s="321"/>
      <c r="S206" s="329"/>
      <c r="T206" s="329"/>
      <c r="U206" s="1">
        <v>1</v>
      </c>
    </row>
    <row r="207" spans="1:23" ht="6" customHeight="1">
      <c r="A207" s="15"/>
      <c r="B207" s="13"/>
      <c r="C207" s="51"/>
      <c r="D207" s="25"/>
      <c r="E207" s="25"/>
      <c r="F207" s="89"/>
      <c r="G207" s="89"/>
      <c r="H207" s="89"/>
      <c r="I207" s="89"/>
      <c r="J207" s="51"/>
      <c r="K207" s="51"/>
      <c r="L207" s="51"/>
      <c r="M207" s="51"/>
      <c r="N207" s="51"/>
      <c r="O207" s="51"/>
      <c r="P207" s="51"/>
      <c r="Q207" s="129"/>
      <c r="R207" s="14"/>
      <c r="S207" s="325"/>
      <c r="T207" s="325"/>
      <c r="U207" s="1">
        <v>1</v>
      </c>
    </row>
    <row r="208" spans="1:23" s="257" customFormat="1" ht="16.5" customHeight="1" thickBot="1">
      <c r="A208" s="251" t="s">
        <v>160</v>
      </c>
      <c r="B208" s="252"/>
      <c r="C208" s="253"/>
      <c r="D208" s="254"/>
      <c r="E208" s="254"/>
      <c r="F208" s="255"/>
      <c r="G208" s="255"/>
      <c r="H208" s="255"/>
      <c r="I208" s="255"/>
      <c r="J208" s="253"/>
      <c r="K208" s="253"/>
      <c r="L208" s="253"/>
      <c r="M208" s="253"/>
      <c r="N208" s="253"/>
      <c r="O208" s="253"/>
      <c r="P208" s="253"/>
      <c r="Q208" s="253"/>
      <c r="R208" s="256"/>
      <c r="S208" s="330"/>
      <c r="T208" s="330"/>
      <c r="U208" s="257">
        <v>1</v>
      </c>
    </row>
    <row r="209" spans="1:25" ht="14.25">
      <c r="A209" s="81" t="s">
        <v>200</v>
      </c>
      <c r="B209" s="82" t="s">
        <v>202</v>
      </c>
      <c r="C209" s="46"/>
      <c r="D209" s="86"/>
      <c r="E209" s="86"/>
      <c r="F209" s="93"/>
      <c r="G209" s="93"/>
      <c r="H209" s="120"/>
      <c r="I209" s="120"/>
      <c r="J209" s="47"/>
      <c r="K209" s="48"/>
      <c r="L209" s="48"/>
      <c r="M209" s="48"/>
      <c r="N209" s="48"/>
      <c r="O209" s="48"/>
      <c r="P209" s="48"/>
      <c r="Q209" s="48"/>
      <c r="R209" s="48"/>
      <c r="S209" s="329"/>
      <c r="T209" s="329"/>
      <c r="U209" s="1">
        <v>1</v>
      </c>
    </row>
    <row r="210" spans="1:25" ht="14.25">
      <c r="A210" s="21">
        <f>COUNTIF($R$6:$R$204,"AJKRSP")</f>
        <v>8</v>
      </c>
      <c r="B210" s="22" t="s">
        <v>283</v>
      </c>
      <c r="C210" s="27">
        <f>SUMIF($R$6:$R$203,"AJKRSP",$C$6:$C$203)</f>
        <v>176</v>
      </c>
      <c r="D210" s="27">
        <f>SUMIF($R$6:$R$203,"AJKRSP",$D$6:$D$203)</f>
        <v>136</v>
      </c>
      <c r="E210" s="27">
        <f>SUMIF($R$6:$R$203,"AJKRSP",$E$6:$E$203)</f>
        <v>136</v>
      </c>
      <c r="F210" s="88">
        <f>(E210-D210)/D210%</f>
        <v>0</v>
      </c>
      <c r="G210" s="88">
        <f t="shared" ref="G210:G220" si="63">E210/C210%</f>
        <v>77.272727272727266</v>
      </c>
      <c r="H210" s="27">
        <f>SUMIF($R$6:$R$203,"AJKRSP",$H$6:$H$203)</f>
        <v>621.7233161575266</v>
      </c>
      <c r="I210" s="27">
        <f>SUMIF($R$6:$R$203,"AJKRSP",$I$6:$I$203)</f>
        <v>621.7233161575266</v>
      </c>
      <c r="J210" s="27">
        <f>SUMIF($R$6:$R$203,"AJKRSP",$J$6:$J$203)</f>
        <v>353469.33658932324</v>
      </c>
      <c r="K210" s="27">
        <f>SUMIF($R$6:$R$203,"AJKRSP",$K$6:$K$203)</f>
        <v>102320</v>
      </c>
      <c r="L210" s="27">
        <f>SUMIF($R$6:$R$203,"AJKRSP",$L$6:$L$203)</f>
        <v>102320</v>
      </c>
      <c r="M210" s="88">
        <f t="shared" ref="M210:M220" si="64">(L210-K210)/K210%</f>
        <v>0</v>
      </c>
      <c r="N210" s="88">
        <f t="shared" ref="N210:N220" si="65">L210/J210%</f>
        <v>28.947348301072019</v>
      </c>
      <c r="O210" s="27">
        <f>SUMIF($R$6:$R$203,"AJKRSP",$O$6:$O$203)</f>
        <v>4750</v>
      </c>
      <c r="P210" s="27">
        <f>SUMIF($R$6:$R$203,"AJKRSP",$P$6:$P$203)</f>
        <v>4750</v>
      </c>
      <c r="Q210" s="88">
        <f t="shared" ref="Q210:Q220" si="66">(P210-O210)/O210%</f>
        <v>0</v>
      </c>
      <c r="R210" s="317" t="s">
        <v>1</v>
      </c>
      <c r="S210" s="328"/>
      <c r="T210" s="328"/>
      <c r="U210" s="1">
        <v>1</v>
      </c>
    </row>
    <row r="211" spans="1:25" s="6" customFormat="1" ht="14.25">
      <c r="A211" s="21">
        <f>COUNTIF($R$6:$R$204,"AKRSP")</f>
        <v>7</v>
      </c>
      <c r="B211" s="28" t="s">
        <v>211</v>
      </c>
      <c r="C211" s="27">
        <f>SUMIF($R$6:$R$203,"AKRSP",$C$6:$C$203)</f>
        <v>118</v>
      </c>
      <c r="D211" s="27">
        <f>SUMIF($R$6:$R$203,"AKRSP",$D$6:$D$203)</f>
        <v>118</v>
      </c>
      <c r="E211" s="27">
        <f>SUMIF($R$6:$R$203,"AKRSP",$E$6:$E$203)</f>
        <v>118</v>
      </c>
      <c r="F211" s="88">
        <f t="shared" ref="F211:F220" si="67">(E211-D211)/D211%</f>
        <v>0</v>
      </c>
      <c r="G211" s="88">
        <f t="shared" si="63"/>
        <v>100</v>
      </c>
      <c r="H211" s="27">
        <f>SUMIF($R$6:$R$203,"AKRSP",$H$6:$H$203)</f>
        <v>864</v>
      </c>
      <c r="I211" s="27">
        <f>SUMIF($R$6:$R$203,"AKRSP",$I$6:$I$203)</f>
        <v>864</v>
      </c>
      <c r="J211" s="27">
        <f>SUMIF($R$6:$R$203,"AKRSP",$J$6:$J$203)</f>
        <v>145528.83396348439</v>
      </c>
      <c r="K211" s="27">
        <f>SUMIF($R$6:$R$203,"AKRSP",$K$6:$K$203)</f>
        <v>109614</v>
      </c>
      <c r="L211" s="27">
        <f>SUMIF($R$6:$R$203,"AKRSP",$L$6:$L$203)</f>
        <v>113737</v>
      </c>
      <c r="M211" s="88">
        <f t="shared" si="64"/>
        <v>3.7613808455124342</v>
      </c>
      <c r="N211" s="88">
        <f t="shared" si="65"/>
        <v>78.154271495460833</v>
      </c>
      <c r="O211" s="27">
        <f>SUMIF($R$6:$R$203,"AKRSP",$O$6:$O$203)</f>
        <v>5064</v>
      </c>
      <c r="P211" s="27">
        <f>SUMIF($R$6:$R$203,"AKRSP",$P$6:$P$203)</f>
        <v>5064</v>
      </c>
      <c r="Q211" s="88">
        <f t="shared" si="66"/>
        <v>0</v>
      </c>
      <c r="R211" s="317" t="s">
        <v>2</v>
      </c>
      <c r="S211" s="328"/>
      <c r="T211" s="328"/>
      <c r="U211" s="1">
        <v>1</v>
      </c>
    </row>
    <row r="212" spans="1:25" s="6" customFormat="1" ht="14.25">
      <c r="A212" s="21">
        <f>COUNTIF($R$6:$R$204,"BRSP")</f>
        <v>15</v>
      </c>
      <c r="B212" s="28" t="s">
        <v>212</v>
      </c>
      <c r="C212" s="27">
        <f>SUMIF($R$6:$R$203,"BRSP",$C$6:$C$203)</f>
        <v>338</v>
      </c>
      <c r="D212" s="27">
        <f>SUMIF($R$6:$R$203,"BRSP",$D$6:$D$203)</f>
        <v>204</v>
      </c>
      <c r="E212" s="27">
        <f>SUMIF($R$6:$R$203,"BRSP",$E$6:$E$203)</f>
        <v>206</v>
      </c>
      <c r="F212" s="88">
        <f t="shared" si="67"/>
        <v>0.98039215686274506</v>
      </c>
      <c r="G212" s="88">
        <f t="shared" si="63"/>
        <v>60.946745562130182</v>
      </c>
      <c r="H212" s="27">
        <f>SUMIF($R$6:$R$203,"BRSP",$H$6:$H$203)</f>
        <v>1338</v>
      </c>
      <c r="I212" s="27">
        <f>SUMIF($R$6:$R$203,"BRSP",$I$6:$I$203)</f>
        <v>1338</v>
      </c>
      <c r="J212" s="27">
        <f>SUMIF($R$6:$R$203,"BRSP",$J$6:$J$203)</f>
        <v>468049.125</v>
      </c>
      <c r="K212" s="27">
        <f>SUMIF($R$6:$R$203,"BRSP",$K$6:$K$203)</f>
        <v>202295</v>
      </c>
      <c r="L212" s="27">
        <f>SUMIF($R$6:$R$203,"BRSP",$L$6:$L$203)</f>
        <v>205990</v>
      </c>
      <c r="M212" s="88">
        <f t="shared" si="64"/>
        <v>1.8265404483551249</v>
      </c>
      <c r="N212" s="88">
        <f t="shared" si="65"/>
        <v>44.010337590098047</v>
      </c>
      <c r="O212" s="27">
        <f>SUMIF($R$6:$R$203,"BRSP",$O$6:$O$203)</f>
        <v>12099</v>
      </c>
      <c r="P212" s="27">
        <f>SUMIF($R$6:$R$203,"BRSP",$P$6:$P$203)</f>
        <v>12340</v>
      </c>
      <c r="Q212" s="88">
        <f t="shared" si="66"/>
        <v>1.9919001570377719</v>
      </c>
      <c r="R212" s="317" t="s">
        <v>3</v>
      </c>
      <c r="S212" s="328"/>
      <c r="T212" s="328"/>
      <c r="U212" s="1">
        <v>1</v>
      </c>
      <c r="V212" s="76"/>
    </row>
    <row r="213" spans="1:25" s="6" customFormat="1" ht="14.25">
      <c r="A213" s="21">
        <f>COUNTIF($R$6:$R$204,"GBTI")</f>
        <v>3</v>
      </c>
      <c r="B213" s="28" t="s">
        <v>285</v>
      </c>
      <c r="C213" s="27">
        <f>SUMIF($R$6:$R$203,"GBTI",$C$6:$C$203)</f>
        <v>165</v>
      </c>
      <c r="D213" s="27">
        <f>SUMIF($R$6:$R$203,"GBTI",$D$6:$D$203)</f>
        <v>22</v>
      </c>
      <c r="E213" s="27">
        <f>SUMIF($R$6:$R$203,"GBTI",$E$6:$E$203)</f>
        <v>22</v>
      </c>
      <c r="F213" s="88">
        <f t="shared" si="67"/>
        <v>0</v>
      </c>
      <c r="G213" s="88">
        <f t="shared" si="63"/>
        <v>13.333333333333334</v>
      </c>
      <c r="H213" s="27">
        <f>SUMIF($R$6:$R$203,"GBTI",$H$6:$H$203)</f>
        <v>114</v>
      </c>
      <c r="I213" s="27">
        <f>SUMIF($R$6:$R$203,"GBTI",$I$6:$I$203)</f>
        <v>114</v>
      </c>
      <c r="J213" s="27">
        <f>SUMIF($R$6:$R$203,"GBTI",$J$6:$J$203)</f>
        <v>371315</v>
      </c>
      <c r="K213" s="27">
        <f>SUMIF($R$6:$R$203,"GBTI",$K$6:$K$203)</f>
        <v>35236</v>
      </c>
      <c r="L213" s="27">
        <f>SUMIF($R$6:$R$203,"GBTI",$L$6:$L$203)</f>
        <v>35396</v>
      </c>
      <c r="M213" s="88">
        <f t="shared" si="64"/>
        <v>0.454081053468044</v>
      </c>
      <c r="N213" s="88">
        <f t="shared" si="65"/>
        <v>9.532607085628106</v>
      </c>
      <c r="O213" s="27">
        <f>SUMIF($R$6:$R$203,"GBTI",$O$6:$O$203)</f>
        <v>3170</v>
      </c>
      <c r="P213" s="27">
        <f>SUMIF($R$6:$R$203,"GBTI",$P$6:$P$203)</f>
        <v>3185</v>
      </c>
      <c r="Q213" s="88">
        <f t="shared" si="66"/>
        <v>0.47318611987381703</v>
      </c>
      <c r="R213" s="317" t="s">
        <v>4</v>
      </c>
      <c r="S213" s="328"/>
      <c r="T213" s="27">
        <f>SUMIF($R$6:$R$203,"GBTI",$T$6:$T$203)</f>
        <v>13</v>
      </c>
      <c r="U213" s="1">
        <v>1</v>
      </c>
    </row>
    <row r="214" spans="1:25" s="6" customFormat="1" ht="14.25">
      <c r="A214" s="21">
        <f>COUNTIF($R$6:$R$204,"NRSP")</f>
        <v>57</v>
      </c>
      <c r="B214" s="28" t="s">
        <v>213</v>
      </c>
      <c r="C214" s="27">
        <f>SUMIF($R$6:$R$203,"NRSP",$C$6:$C$203)</f>
        <v>2812</v>
      </c>
      <c r="D214" s="27">
        <f>SUMIF($R$6:$R$203,"NRSP",$D$6:$D$203)</f>
        <v>2038</v>
      </c>
      <c r="E214" s="27">
        <f>SUMIF($R$6:$R$203,"NRSP",$E$6:$E$203)</f>
        <v>2109</v>
      </c>
      <c r="F214" s="88">
        <f t="shared" si="67"/>
        <v>3.4838076545632974</v>
      </c>
      <c r="G214" s="88">
        <f t="shared" si="63"/>
        <v>75</v>
      </c>
      <c r="H214" s="27">
        <f>SUMIF($R$6:$R$203,"NRSP",$H$6:$H$203)</f>
        <v>13779</v>
      </c>
      <c r="I214" s="27">
        <f>SUMIF($R$6:$R$203,"NRSP",$I$6:$I$203)</f>
        <v>14152</v>
      </c>
      <c r="J214" s="27">
        <f>SUMIF($R$6:$R$203,"NRSP",$J$6:$J$203)</f>
        <v>6832854.1141952788</v>
      </c>
      <c r="K214" s="27">
        <f>SUMIF($R$6:$R$203,"NRSP",$K$6:$K$203)</f>
        <v>2505870</v>
      </c>
      <c r="L214" s="27">
        <f>SUMIF($R$6:$R$203,"NRSP",$L$6:$L$203)</f>
        <v>2545927</v>
      </c>
      <c r="M214" s="88">
        <f t="shared" si="64"/>
        <v>1.59852665940372</v>
      </c>
      <c r="N214" s="88">
        <f t="shared" si="65"/>
        <v>37.260081328398734</v>
      </c>
      <c r="O214" s="27">
        <f>SUMIF($R$6:$R$203,"NRSP",$O$6:$O$203)</f>
        <v>165526</v>
      </c>
      <c r="P214" s="27">
        <f>SUMIF($R$6:$R$203,"NRSP",$P$6:$P$203)</f>
        <v>168147</v>
      </c>
      <c r="Q214" s="88">
        <f t="shared" si="66"/>
        <v>1.5834370431231348</v>
      </c>
      <c r="R214" s="317" t="s">
        <v>5</v>
      </c>
      <c r="S214" s="328"/>
      <c r="T214" s="27">
        <f>SUMIF($R$6:$R$203,"NRSP",$T$6:$T$203)</f>
        <v>124</v>
      </c>
      <c r="U214" s="1">
        <v>1</v>
      </c>
      <c r="Y214" s="201" t="e">
        <f>I214-'[4]1.RSP Districts '!I212</f>
        <v>#REF!</v>
      </c>
    </row>
    <row r="215" spans="1:25" s="6" customFormat="1" ht="14.25">
      <c r="A215" s="21">
        <f>COUNTIF($R$6:$R$204,"PRSP")-4</f>
        <v>21</v>
      </c>
      <c r="B215" s="28" t="s">
        <v>228</v>
      </c>
      <c r="C215" s="27">
        <f>SUMIF($R$6:$R$203,"PRSP",C6:C203)</f>
        <v>1865</v>
      </c>
      <c r="D215" s="27">
        <f>SUMIF($R$6:$R$203,"PRSP",D6:D203)</f>
        <v>714</v>
      </c>
      <c r="E215" s="27">
        <f>SUMIF($R$6:$R$203,"PRSP",E6:E203)</f>
        <v>718</v>
      </c>
      <c r="F215" s="88">
        <f t="shared" si="67"/>
        <v>0.56022408963585435</v>
      </c>
      <c r="G215" s="88">
        <f t="shared" si="63"/>
        <v>38.498659517426276</v>
      </c>
      <c r="H215" s="27">
        <f>SUMIF($R$6:$R$203,"PRSP",H6:H203)</f>
        <v>5823</v>
      </c>
      <c r="I215" s="27">
        <f>SUMIF($R$6:$R$203,"PRSP",I6:I203)</f>
        <v>5843</v>
      </c>
      <c r="J215" s="27">
        <f>SUMIF($R$6:$R$203,"pRSP",$J$6:$J$203)</f>
        <v>4326866.1652344316</v>
      </c>
      <c r="K215" s="27">
        <f>SUMIF($R$6:$R$203,"pRSP",$K$6:$K$203)</f>
        <v>1267536</v>
      </c>
      <c r="L215" s="27">
        <f>SUMIF($R$6:$R$203,"PRSP",$L$6:$L$203)</f>
        <v>1307686</v>
      </c>
      <c r="M215" s="88">
        <f t="shared" si="64"/>
        <v>3.1675628936771814</v>
      </c>
      <c r="N215" s="88">
        <f t="shared" si="65"/>
        <v>30.222473958335364</v>
      </c>
      <c r="O215" s="27">
        <f>SUMIF($R$6:$R$203,"pRSP",$O$6:$O$203)</f>
        <v>76508</v>
      </c>
      <c r="P215" s="27">
        <f>SUMIF($R$6:$R$203,"PRSP",$P$6:$P$203)</f>
        <v>77862</v>
      </c>
      <c r="Q215" s="88">
        <f t="shared" si="66"/>
        <v>1.7697495686725571</v>
      </c>
      <c r="R215" s="317" t="s">
        <v>6</v>
      </c>
      <c r="S215" s="328"/>
      <c r="T215" s="27">
        <f>SUMIF($R$6:$R$203,"PRSP",$T$6:$T$203)</f>
        <v>60</v>
      </c>
      <c r="U215" s="1">
        <v>1</v>
      </c>
      <c r="V215" s="137"/>
    </row>
    <row r="216" spans="1:25" s="6" customFormat="1" ht="14.25">
      <c r="A216" s="21">
        <f>COUNTIF($R$6:$R$204,"SGA")</f>
        <v>1</v>
      </c>
      <c r="B216" s="28" t="s">
        <v>214</v>
      </c>
      <c r="C216" s="27">
        <f>SUMIF($R$6:$R$203,"SGA",$C$6:$C$203)</f>
        <v>55</v>
      </c>
      <c r="D216" s="27">
        <f>SUMIF($R$6:$R$203,"SGA",$D$6:$D$203)</f>
        <v>13</v>
      </c>
      <c r="E216" s="27">
        <f>SUMIF($R$6:$R$203,"SGA",$E$6:$E$203)</f>
        <v>13</v>
      </c>
      <c r="F216" s="88">
        <f t="shared" si="67"/>
        <v>0</v>
      </c>
      <c r="G216" s="88">
        <f t="shared" si="63"/>
        <v>23.636363636363633</v>
      </c>
      <c r="H216" s="27">
        <f>SUMIF($R$6:$R$203,"SGA",$H$6:$H$203)</f>
        <v>260</v>
      </c>
      <c r="I216" s="27">
        <f>SUMIF($R$6:$R$203,"SGA",$I$6:$I$203)</f>
        <v>260</v>
      </c>
      <c r="J216" s="27">
        <f>SUMIF($R$6:$R$203,"SGA",$J$6:$J$203)</f>
        <v>209191</v>
      </c>
      <c r="K216" s="27">
        <f>SUMIF($R$6:$R$203,"SGA",$K$6:$K$203)</f>
        <v>16500</v>
      </c>
      <c r="L216" s="27">
        <f>SUMIF($R$6:$R$203,"SGA",$L$6:$L$203)</f>
        <v>16500</v>
      </c>
      <c r="M216" s="88">
        <f t="shared" si="64"/>
        <v>0</v>
      </c>
      <c r="N216" s="88">
        <f t="shared" si="65"/>
        <v>7.8875286221682579</v>
      </c>
      <c r="O216" s="27">
        <f>SUMIF($R$6:$R$203,"SGA",$O$6:$O$203)</f>
        <v>860</v>
      </c>
      <c r="P216" s="27">
        <f>SUMIF($R$6:$R$203,"SGA",$P$6:$P$203)</f>
        <v>860</v>
      </c>
      <c r="Q216" s="88">
        <f t="shared" si="66"/>
        <v>0</v>
      </c>
      <c r="R216" s="317" t="s">
        <v>7</v>
      </c>
      <c r="S216" s="328"/>
      <c r="T216" s="328"/>
      <c r="U216" s="1">
        <v>1</v>
      </c>
    </row>
    <row r="217" spans="1:25" s="6" customFormat="1" ht="14.25">
      <c r="A217" s="21">
        <f>COUNTIF($R$6:$R$204,"SRSO")</f>
        <v>9</v>
      </c>
      <c r="B217" s="28" t="s">
        <v>215</v>
      </c>
      <c r="C217" s="27">
        <f>SUMIF($R$6:$R$203,"SRSO",$C$6:$C$203)</f>
        <v>431</v>
      </c>
      <c r="D217" s="27">
        <f>SUMIF($R$6:$R$203,"SRSO",$D$6:$D$203)</f>
        <v>339</v>
      </c>
      <c r="E217" s="27">
        <f>SUMIF($R$6:$R$203,"SRSO",$E$6:$E$203)</f>
        <v>342</v>
      </c>
      <c r="F217" s="88">
        <f t="shared" si="67"/>
        <v>0.88495575221238931</v>
      </c>
      <c r="G217" s="88">
        <f t="shared" si="63"/>
        <v>79.35034802784223</v>
      </c>
      <c r="H217" s="27">
        <f>SUMIF($R$6:$R$203,"SRSO",$H$6:$H$203)</f>
        <v>1879</v>
      </c>
      <c r="I217" s="27">
        <f>SUMIF($R$6:$R$203,"SRSO",$I$6:$I$203)</f>
        <v>1889</v>
      </c>
      <c r="J217" s="27">
        <f>SUMIF($R$6:$R$203,"SRSO",$J$6:$J$203)</f>
        <v>1183970.1255411254</v>
      </c>
      <c r="K217" s="27">
        <f>SUMIF($R$6:$R$203,"SRSO",$K$6:$K$203)</f>
        <v>593234</v>
      </c>
      <c r="L217" s="27">
        <f>SUMIF($R$6:$R$203,"SRSO",$L$6:$L$203)</f>
        <v>594699</v>
      </c>
      <c r="M217" s="88">
        <f t="shared" si="64"/>
        <v>0.24695145591790085</v>
      </c>
      <c r="N217" s="88">
        <f t="shared" si="65"/>
        <v>50.229223455127041</v>
      </c>
      <c r="O217" s="27">
        <f>SUMIF($R$6:$R$203,"SRSO",$O$6:$O$203)</f>
        <v>36954</v>
      </c>
      <c r="P217" s="27">
        <f>SUMIF($R$6:$R$203,"SRSO",$P$6:$P$203)</f>
        <v>37242</v>
      </c>
      <c r="Q217" s="88">
        <f t="shared" si="66"/>
        <v>0.77934729663906477</v>
      </c>
      <c r="R217" s="317" t="s">
        <v>8</v>
      </c>
      <c r="S217" s="328"/>
      <c r="T217" s="27">
        <f>SUMIF($R$6:$R$203,"SRSO",$T$6:$T$203)</f>
        <v>55</v>
      </c>
      <c r="U217" s="1">
        <v>1</v>
      </c>
    </row>
    <row r="218" spans="1:25" s="6" customFormat="1" ht="14.25">
      <c r="A218" s="21">
        <f>COUNTIF($R$6:$R$204,"SRSP")</f>
        <v>25</v>
      </c>
      <c r="B218" s="28" t="s">
        <v>216</v>
      </c>
      <c r="C218" s="27">
        <f>SUMIF($R$6:$R$203,"SRSP",$C$6:$C$203)</f>
        <v>924</v>
      </c>
      <c r="D218" s="27">
        <f>SUMIF($R$6:$R$203,"SRSP",$E$6:$E$203)</f>
        <v>585</v>
      </c>
      <c r="E218" s="27">
        <f>SUMIF($R$6:$R$203,"SRSP",$E$6:$E$203)</f>
        <v>585</v>
      </c>
      <c r="F218" s="88">
        <f t="shared" si="67"/>
        <v>0</v>
      </c>
      <c r="G218" s="88">
        <f t="shared" si="63"/>
        <v>63.311688311688307</v>
      </c>
      <c r="H218" s="27">
        <f>SUMIF($R$6:$R$203,"SRSP",$H$6:$H$203)</f>
        <v>3159</v>
      </c>
      <c r="I218" s="27">
        <f>SUMIF($R$6:$R$203,"SRSP",$I$6:$I$203)</f>
        <v>3159</v>
      </c>
      <c r="J218" s="27">
        <f>SUMIF($R$6:$R$203,"SRSP",$J$6:$J$203)</f>
        <v>1843252.2259767302</v>
      </c>
      <c r="K218" s="27">
        <f>SUMIF($R$6:$R$203,"SRSP",$K$6:$K$203)</f>
        <v>790275</v>
      </c>
      <c r="L218" s="27">
        <f>SUMIF($R$6:$R$203,"SRSP",$L$6:$L$203)</f>
        <v>798909</v>
      </c>
      <c r="M218" s="88">
        <f t="shared" si="64"/>
        <v>1.0925310809528328</v>
      </c>
      <c r="N218" s="88">
        <f t="shared" si="65"/>
        <v>43.342359159591524</v>
      </c>
      <c r="O218" s="27">
        <f>SUMIF($R$6:$R$203,"SRSP",$O$6:$O$203)</f>
        <v>32686</v>
      </c>
      <c r="P218" s="27">
        <f>SUMIF($R$6:$R$203,"SRSP",$P$6:$P$203)</f>
        <v>33066</v>
      </c>
      <c r="Q218" s="88">
        <f>(P218-O218)/O218%</f>
        <v>1.1625772501988618</v>
      </c>
      <c r="R218" s="317" t="s">
        <v>9</v>
      </c>
      <c r="S218" s="328"/>
      <c r="T218" s="27">
        <f>SUMIF($R$6:$R$203,"SRSP",$T$6:$T$203)</f>
        <v>63</v>
      </c>
      <c r="U218" s="1">
        <v>1</v>
      </c>
      <c r="V218" s="201">
        <f>I218-'[8]1.RSP Districts '!I216</f>
        <v>3159</v>
      </c>
      <c r="W218" s="201">
        <f>P218-'[9]1.RSP Districts '!$P$43</f>
        <v>33066</v>
      </c>
    </row>
    <row r="219" spans="1:25" s="6" customFormat="1" thickBot="1">
      <c r="A219" s="32">
        <f>COUNTIF($R$6:$R$204,"TRDP")</f>
        <v>4</v>
      </c>
      <c r="B219" s="125" t="s">
        <v>217</v>
      </c>
      <c r="C219" s="35">
        <f>SUMIF($R$6:$R$203,"TRDP",$C$6:$C$203)</f>
        <v>151</v>
      </c>
      <c r="D219" s="35">
        <f>SUMIF($R$6:$R$203,"TRDP",$D$6:$D$203)</f>
        <v>113</v>
      </c>
      <c r="E219" s="35">
        <f>SUMIF($R$6:$R$203,"TRDP",$E$6:$E$203)</f>
        <v>113</v>
      </c>
      <c r="F219" s="119">
        <f t="shared" si="67"/>
        <v>0</v>
      </c>
      <c r="G219" s="119">
        <f t="shared" si="63"/>
        <v>74.83443708609272</v>
      </c>
      <c r="H219" s="35">
        <f>SUMIF($R$6:$R$203,"TRDP",$H$6:$H$203)</f>
        <v>561</v>
      </c>
      <c r="I219" s="35">
        <f>SUMIF($R$6:$R$203,"TRDP",$I$6:$I$203)</f>
        <v>561</v>
      </c>
      <c r="J219" s="35">
        <f>SUMIF($R$6:$R$203,"TRDP",$J$6:$J$203)</f>
        <v>519666</v>
      </c>
      <c r="K219" s="35">
        <f>SUMIF($R$6:$R$203,"TRDP",$K$6:$K$203)</f>
        <v>270359</v>
      </c>
      <c r="L219" s="35">
        <f>SUMIF($R$6:$R$203,"TRDP",$L$6:$L$203)</f>
        <v>272724</v>
      </c>
      <c r="M219" s="119">
        <f t="shared" si="64"/>
        <v>0.87476281536771472</v>
      </c>
      <c r="N219" s="119">
        <f t="shared" si="65"/>
        <v>52.480631790419231</v>
      </c>
      <c r="O219" s="35">
        <f>SUMIF($R$6:$R$203,"TRDP",$O$6:$O$203)</f>
        <v>16459</v>
      </c>
      <c r="P219" s="35">
        <f>SUMIF($R$6:$R$203,"TRDP",$P$6:$P$203)</f>
        <v>16569</v>
      </c>
      <c r="Q219" s="119">
        <f t="shared" si="66"/>
        <v>0.66832735889179173</v>
      </c>
      <c r="R219" s="319" t="s">
        <v>10</v>
      </c>
      <c r="S219" s="328"/>
      <c r="T219" s="35">
        <f>SUMIF($R$6:$R$203,"TRDP",$T$6:$T$203)</f>
        <v>18</v>
      </c>
      <c r="U219" s="1">
        <v>1</v>
      </c>
      <c r="W219" s="201">
        <f>C219-'[12]1.RSP Districts '!C217</f>
        <v>151</v>
      </c>
    </row>
    <row r="220" spans="1:25" s="7" customFormat="1" ht="15.75" thickBot="1">
      <c r="A220" s="131">
        <f>SUM(A210:A219)-29</f>
        <v>121</v>
      </c>
      <c r="B220" s="130" t="s">
        <v>159</v>
      </c>
      <c r="C220" s="124">
        <f>C232</f>
        <v>5568</v>
      </c>
      <c r="D220" s="124">
        <f>D232</f>
        <v>3617</v>
      </c>
      <c r="E220" s="124">
        <f>E232</f>
        <v>3648</v>
      </c>
      <c r="F220" s="132">
        <f t="shared" si="67"/>
        <v>0.8570638650815593</v>
      </c>
      <c r="G220" s="132">
        <f t="shared" si="63"/>
        <v>65.517241379310349</v>
      </c>
      <c r="H220" s="49">
        <f>SUM(H210:H219)</f>
        <v>28398.723316157528</v>
      </c>
      <c r="I220" s="49">
        <f>SUM(I210:I219)</f>
        <v>28801.723316157528</v>
      </c>
      <c r="J220" s="124">
        <f>J232</f>
        <v>12479974.528189642</v>
      </c>
      <c r="K220" s="49">
        <f>SUM(K210:K219)</f>
        <v>5893239</v>
      </c>
      <c r="L220" s="49">
        <f>SUM(L210:L219)</f>
        <v>5993888</v>
      </c>
      <c r="M220" s="132">
        <f t="shared" si="64"/>
        <v>1.7078723601740911</v>
      </c>
      <c r="N220" s="132">
        <f t="shared" si="65"/>
        <v>48.028046743693793</v>
      </c>
      <c r="O220" s="49">
        <f>SUM(O210:O219)</f>
        <v>354076</v>
      </c>
      <c r="P220" s="49">
        <f>SUM(P210:P219)</f>
        <v>359085</v>
      </c>
      <c r="Q220" s="132">
        <f t="shared" si="66"/>
        <v>1.4146680373705078</v>
      </c>
      <c r="R220" s="322"/>
      <c r="S220" s="331"/>
      <c r="T220" s="331"/>
      <c r="U220" s="1">
        <v>1</v>
      </c>
    </row>
    <row r="221" spans="1:25" s="7" customFormat="1" ht="26.25" customHeight="1">
      <c r="A221" s="105" t="s">
        <v>229</v>
      </c>
      <c r="B221" s="42"/>
      <c r="C221" s="30"/>
      <c r="D221" s="30"/>
      <c r="E221" s="30"/>
      <c r="F221" s="92"/>
      <c r="G221" s="92"/>
      <c r="H221" s="92"/>
      <c r="I221" s="92"/>
      <c r="J221" s="30"/>
      <c r="K221" s="30"/>
      <c r="L221" s="30"/>
      <c r="M221" s="30"/>
      <c r="N221" s="30"/>
      <c r="O221" s="30"/>
      <c r="P221" s="30"/>
      <c r="Q221" s="30"/>
      <c r="R221" s="71"/>
      <c r="S221" s="331"/>
      <c r="T221" s="331"/>
      <c r="U221" s="1">
        <v>1</v>
      </c>
    </row>
    <row r="222" spans="1:25" ht="18" customHeight="1" thickBot="1">
      <c r="A222" s="72" t="s">
        <v>201</v>
      </c>
      <c r="B222" s="13"/>
      <c r="C222" s="51"/>
      <c r="D222" s="25"/>
      <c r="E222" s="25"/>
      <c r="F222" s="89"/>
      <c r="G222" s="89"/>
      <c r="H222" s="89"/>
      <c r="I222" s="89"/>
      <c r="J222" s="51"/>
      <c r="K222" s="51"/>
      <c r="L222" s="51"/>
      <c r="M222" s="51"/>
      <c r="N222" s="51"/>
      <c r="O222" s="51"/>
      <c r="P222" s="51"/>
      <c r="Q222" s="51"/>
      <c r="R222" s="14"/>
      <c r="S222" s="325"/>
      <c r="T222" s="325"/>
      <c r="U222" s="1">
        <v>1</v>
      </c>
    </row>
    <row r="223" spans="1:25" ht="127.5">
      <c r="A223" s="73" t="s">
        <v>221</v>
      </c>
      <c r="B223" s="83" t="s">
        <v>203</v>
      </c>
      <c r="C223" s="46"/>
      <c r="D223" s="86"/>
      <c r="E223" s="86"/>
      <c r="F223" s="93"/>
      <c r="G223" s="93"/>
      <c r="H223" s="93"/>
      <c r="I223" s="93"/>
      <c r="J223" s="46"/>
      <c r="K223" s="46"/>
      <c r="L223" s="46"/>
      <c r="M223" s="46"/>
      <c r="N223" s="46"/>
      <c r="O223" s="48"/>
      <c r="P223" s="48"/>
      <c r="Q223" s="48"/>
      <c r="R223" s="323" t="s">
        <v>222</v>
      </c>
      <c r="S223" s="332"/>
      <c r="T223" s="332"/>
      <c r="U223" s="1">
        <v>1</v>
      </c>
    </row>
    <row r="224" spans="1:25" ht="14.25">
      <c r="A224" s="21">
        <f>A7</f>
        <v>1</v>
      </c>
      <c r="B224" s="28" t="s">
        <v>284</v>
      </c>
      <c r="C224" s="23">
        <f>C7</f>
        <v>12</v>
      </c>
      <c r="D224" s="23">
        <f>D7</f>
        <v>12</v>
      </c>
      <c r="E224" s="23">
        <f>E7</f>
        <v>12</v>
      </c>
      <c r="F224" s="88">
        <f>(E224-D224)/D224%</f>
        <v>0</v>
      </c>
      <c r="G224" s="88">
        <f t="shared" ref="G224:G232" si="68">E224/C224%</f>
        <v>100</v>
      </c>
      <c r="H224" s="23">
        <f>H7</f>
        <v>722</v>
      </c>
      <c r="I224" s="23">
        <f>I7</f>
        <v>722</v>
      </c>
      <c r="J224" s="23">
        <f>J7</f>
        <v>43884</v>
      </c>
      <c r="K224" s="23">
        <f>K7</f>
        <v>26391</v>
      </c>
      <c r="L224" s="23">
        <f>L7</f>
        <v>26391</v>
      </c>
      <c r="M224" s="88">
        <f t="shared" ref="M224:M232" si="69">(L224-K224)/K224%</f>
        <v>0</v>
      </c>
      <c r="N224" s="88">
        <f t="shared" ref="N224:N232" si="70">L224/J224%</f>
        <v>60.13809133169265</v>
      </c>
      <c r="O224" s="23">
        <f>O7</f>
        <v>1605</v>
      </c>
      <c r="P224" s="23">
        <f>P7</f>
        <v>1605</v>
      </c>
      <c r="Q224" s="88">
        <f t="shared" ref="Q224:Q232" si="71">(P224-O224)/O224%</f>
        <v>0</v>
      </c>
      <c r="R224" s="24">
        <f>A7</f>
        <v>1</v>
      </c>
      <c r="S224" s="23"/>
      <c r="T224" s="23"/>
      <c r="U224" s="1">
        <v>1</v>
      </c>
    </row>
    <row r="225" spans="1:21" ht="14.25">
      <c r="A225" s="21">
        <f>A40</f>
        <v>20</v>
      </c>
      <c r="B225" s="28" t="s">
        <v>161</v>
      </c>
      <c r="C225" s="23">
        <f>C40</f>
        <v>547</v>
      </c>
      <c r="D225" s="23">
        <f>D40</f>
        <v>284</v>
      </c>
      <c r="E225" s="23">
        <f>E40</f>
        <v>286</v>
      </c>
      <c r="F225" s="88">
        <f t="shared" ref="F225:F232" si="72">(E225-D225)/D225%</f>
        <v>0.70422535211267612</v>
      </c>
      <c r="G225" s="88">
        <f t="shared" si="68"/>
        <v>52.285191956124315</v>
      </c>
      <c r="H225" s="23">
        <f>H40</f>
        <v>2362</v>
      </c>
      <c r="I225" s="23">
        <f>I40</f>
        <v>2362</v>
      </c>
      <c r="J225" s="23">
        <f>J40</f>
        <v>814191</v>
      </c>
      <c r="K225" s="23">
        <f>K40</f>
        <v>322786</v>
      </c>
      <c r="L225" s="23">
        <f>L40</f>
        <v>336986</v>
      </c>
      <c r="M225" s="88">
        <f t="shared" si="69"/>
        <v>4.3991994696176411</v>
      </c>
      <c r="N225" s="88">
        <f t="shared" si="70"/>
        <v>41.389059815203069</v>
      </c>
      <c r="O225" s="23">
        <f>O40</f>
        <v>18576</v>
      </c>
      <c r="P225" s="23">
        <f>P40</f>
        <v>19272</v>
      </c>
      <c r="Q225" s="88">
        <f t="shared" si="71"/>
        <v>3.7467700258397936</v>
      </c>
      <c r="R225" s="324">
        <f>A39</f>
        <v>30</v>
      </c>
      <c r="S225" s="111"/>
      <c r="T225" s="111"/>
      <c r="U225" s="1">
        <v>1</v>
      </c>
    </row>
    <row r="226" spans="1:21" ht="14.25">
      <c r="A226" s="21">
        <f>A77</f>
        <v>21</v>
      </c>
      <c r="B226" s="28" t="s">
        <v>209</v>
      </c>
      <c r="C226" s="23">
        <f>C77</f>
        <v>964</v>
      </c>
      <c r="D226" s="23">
        <f>D77</f>
        <v>559</v>
      </c>
      <c r="E226" s="23">
        <f>E77</f>
        <v>559</v>
      </c>
      <c r="F226" s="88">
        <f t="shared" si="72"/>
        <v>0</v>
      </c>
      <c r="G226" s="88">
        <f t="shared" si="68"/>
        <v>57.987551867219914</v>
      </c>
      <c r="H226" s="23">
        <f>H77</f>
        <v>4716</v>
      </c>
      <c r="I226" s="23">
        <f>I77</f>
        <v>4716</v>
      </c>
      <c r="J226" s="23">
        <f>J77</f>
        <v>1889904</v>
      </c>
      <c r="K226" s="23">
        <f>K77</f>
        <v>963333</v>
      </c>
      <c r="L226" s="23">
        <f>L77</f>
        <v>975670</v>
      </c>
      <c r="M226" s="88">
        <f t="shared" si="69"/>
        <v>1.2806578825805821</v>
      </c>
      <c r="N226" s="88">
        <f t="shared" si="70"/>
        <v>51.625373563948216</v>
      </c>
      <c r="O226" s="23">
        <f>O77</f>
        <v>44254</v>
      </c>
      <c r="P226" s="23">
        <f>P77</f>
        <v>44972</v>
      </c>
      <c r="Q226" s="88">
        <f t="shared" si="71"/>
        <v>1.6224522077100374</v>
      </c>
      <c r="R226" s="24">
        <f>A76</f>
        <v>24</v>
      </c>
      <c r="S226" s="23"/>
      <c r="T226" s="23"/>
      <c r="U226" s="1">
        <v>1</v>
      </c>
    </row>
    <row r="227" spans="1:21" ht="14.25">
      <c r="A227" s="21">
        <f>A104</f>
        <v>22</v>
      </c>
      <c r="B227" s="28" t="s">
        <v>162</v>
      </c>
      <c r="C227" s="23">
        <f>C104</f>
        <v>921</v>
      </c>
      <c r="D227" s="23">
        <f>D104</f>
        <v>691</v>
      </c>
      <c r="E227" s="23">
        <f>E104</f>
        <v>694</v>
      </c>
      <c r="F227" s="88">
        <f t="shared" si="72"/>
        <v>0.43415340086830678</v>
      </c>
      <c r="G227" s="88">
        <f t="shared" si="68"/>
        <v>75.352877307274696</v>
      </c>
      <c r="H227" s="23">
        <f>H104</f>
        <v>3962</v>
      </c>
      <c r="I227" s="23">
        <f>I104</f>
        <v>3972</v>
      </c>
      <c r="J227" s="23">
        <f>J104</f>
        <v>2816903.1255411254</v>
      </c>
      <c r="K227" s="23">
        <f>K104</f>
        <v>1192574</v>
      </c>
      <c r="L227" s="23">
        <f>L104</f>
        <v>1201358</v>
      </c>
      <c r="M227" s="88">
        <f t="shared" si="69"/>
        <v>0.73655806683694258</v>
      </c>
      <c r="N227" s="88">
        <f t="shared" si="70"/>
        <v>42.648183003070791</v>
      </c>
      <c r="O227" s="23">
        <f>O104</f>
        <v>73721</v>
      </c>
      <c r="P227" s="23">
        <f>P104</f>
        <v>74446</v>
      </c>
      <c r="Q227" s="88">
        <f t="shared" si="71"/>
        <v>0.98343755510641473</v>
      </c>
      <c r="R227" s="24">
        <f>A103</f>
        <v>23</v>
      </c>
      <c r="S227" s="23"/>
      <c r="T227" s="23"/>
      <c r="U227" s="1">
        <v>1</v>
      </c>
    </row>
    <row r="228" spans="1:21" ht="14.25">
      <c r="A228" s="21">
        <f>A159</f>
        <v>36</v>
      </c>
      <c r="B228" s="28" t="s">
        <v>163</v>
      </c>
      <c r="C228" s="23">
        <f>C159</f>
        <v>2635</v>
      </c>
      <c r="D228" s="23">
        <f>D159</f>
        <v>1782</v>
      </c>
      <c r="E228" s="23">
        <f>E159</f>
        <v>1807</v>
      </c>
      <c r="F228" s="88">
        <f t="shared" si="72"/>
        <v>1.4029180695847363</v>
      </c>
      <c r="G228" s="88">
        <f t="shared" si="68"/>
        <v>68.576850094876662</v>
      </c>
      <c r="H228" s="23">
        <f>H159</f>
        <v>14602</v>
      </c>
      <c r="I228" s="23">
        <f>I159</f>
        <v>14995</v>
      </c>
      <c r="J228" s="23">
        <f>J159</f>
        <v>6063823.2431565113</v>
      </c>
      <c r="K228" s="23">
        <f>K159</f>
        <v>2997497</v>
      </c>
      <c r="L228" s="23">
        <f>L159</f>
        <v>3058702</v>
      </c>
      <c r="M228" s="88">
        <f t="shared" si="69"/>
        <v>2.0418702670928446</v>
      </c>
      <c r="N228" s="88">
        <f t="shared" si="70"/>
        <v>50.441806717436549</v>
      </c>
      <c r="O228" s="23">
        <f>O159</f>
        <v>196592</v>
      </c>
      <c r="P228" s="23">
        <f>P159</f>
        <v>199462</v>
      </c>
      <c r="Q228" s="88">
        <f t="shared" si="71"/>
        <v>1.4598762920159518</v>
      </c>
      <c r="R228" s="24">
        <f>A158</f>
        <v>36</v>
      </c>
      <c r="S228" s="23"/>
      <c r="T228" s="23"/>
      <c r="U228" s="1">
        <v>1</v>
      </c>
    </row>
    <row r="229" spans="1:21" ht="14.25">
      <c r="A229" s="21">
        <f>A178</f>
        <v>10</v>
      </c>
      <c r="B229" s="28" t="s">
        <v>273</v>
      </c>
      <c r="C229" s="23">
        <f>C178</f>
        <v>196</v>
      </c>
      <c r="D229" s="23">
        <f>D178</f>
        <v>180</v>
      </c>
      <c r="E229" s="23">
        <f>E178</f>
        <v>181</v>
      </c>
      <c r="F229" s="88">
        <f t="shared" si="72"/>
        <v>0.55555555555555558</v>
      </c>
      <c r="G229" s="88">
        <f t="shared" si="68"/>
        <v>92.34693877551021</v>
      </c>
      <c r="H229" s="23">
        <f>H178</f>
        <v>1314.7233161575266</v>
      </c>
      <c r="I229" s="23">
        <f>I178</f>
        <v>1314.7233161575266</v>
      </c>
      <c r="J229" s="23">
        <f>J178</f>
        <v>398969.65165781637</v>
      </c>
      <c r="K229" s="23">
        <f>K178</f>
        <v>296965</v>
      </c>
      <c r="L229" s="23">
        <f>L178</f>
        <v>296965</v>
      </c>
      <c r="M229" s="88">
        <f t="shared" si="69"/>
        <v>0</v>
      </c>
      <c r="N229" s="88">
        <f t="shared" si="70"/>
        <v>74.432979743205493</v>
      </c>
      <c r="O229" s="23">
        <f>O178</f>
        <v>15231</v>
      </c>
      <c r="P229" s="23">
        <f>P178</f>
        <v>15231</v>
      </c>
      <c r="Q229" s="88">
        <f t="shared" si="71"/>
        <v>0</v>
      </c>
      <c r="R229" s="24">
        <f>A177</f>
        <v>10</v>
      </c>
      <c r="S229" s="23"/>
      <c r="T229" s="23"/>
      <c r="U229" s="1">
        <v>1</v>
      </c>
    </row>
    <row r="230" spans="1:21" ht="14.25">
      <c r="A230" s="21">
        <f>A188</f>
        <v>6</v>
      </c>
      <c r="B230" s="28" t="s">
        <v>210</v>
      </c>
      <c r="C230" s="23">
        <f>C188</f>
        <v>103</v>
      </c>
      <c r="D230" s="23">
        <f>D188</f>
        <v>94</v>
      </c>
      <c r="E230" s="23">
        <f>E188</f>
        <v>94</v>
      </c>
      <c r="F230" s="88">
        <f t="shared" si="72"/>
        <v>0</v>
      </c>
      <c r="G230" s="88">
        <f t="shared" si="68"/>
        <v>91.262135922330089</v>
      </c>
      <c r="H230" s="23">
        <f>H188</f>
        <v>486</v>
      </c>
      <c r="I230" s="23">
        <f>I188</f>
        <v>486</v>
      </c>
      <c r="J230" s="23">
        <f>J188</f>
        <v>108649.83396348439</v>
      </c>
      <c r="K230" s="23">
        <f>K188</f>
        <v>74700</v>
      </c>
      <c r="L230" s="23">
        <f>L188</f>
        <v>78823</v>
      </c>
      <c r="M230" s="88">
        <f t="shared" si="69"/>
        <v>5.5194109772423028</v>
      </c>
      <c r="N230" s="88">
        <f t="shared" si="70"/>
        <v>72.547740870447399</v>
      </c>
      <c r="O230" s="23">
        <f>O188</f>
        <v>3384</v>
      </c>
      <c r="P230" s="23">
        <f>P188</f>
        <v>3384</v>
      </c>
      <c r="Q230" s="88">
        <f t="shared" si="71"/>
        <v>0</v>
      </c>
      <c r="R230" s="24">
        <f>A187</f>
        <v>7</v>
      </c>
      <c r="S230" s="23"/>
      <c r="T230" s="23"/>
      <c r="U230" s="1">
        <v>1</v>
      </c>
    </row>
    <row r="231" spans="1:21" thickBot="1">
      <c r="A231" s="32">
        <f>A204</f>
        <v>5</v>
      </c>
      <c r="B231" s="125" t="s">
        <v>294</v>
      </c>
      <c r="C231" s="34">
        <f>C204</f>
        <v>190</v>
      </c>
      <c r="D231" s="34">
        <f>D204</f>
        <v>15</v>
      </c>
      <c r="E231" s="34">
        <f>E204</f>
        <v>15</v>
      </c>
      <c r="F231" s="119">
        <f t="shared" si="72"/>
        <v>0</v>
      </c>
      <c r="G231" s="119">
        <f t="shared" si="68"/>
        <v>7.8947368421052637</v>
      </c>
      <c r="H231" s="34">
        <f>H204</f>
        <v>234</v>
      </c>
      <c r="I231" s="34">
        <f>I204</f>
        <v>234</v>
      </c>
      <c r="J231" s="34">
        <f>J204</f>
        <v>343649.6738707067</v>
      </c>
      <c r="K231" s="34">
        <f>K204</f>
        <v>18993</v>
      </c>
      <c r="L231" s="34">
        <f>L204</f>
        <v>18993</v>
      </c>
      <c r="M231" s="119">
        <f t="shared" si="69"/>
        <v>0</v>
      </c>
      <c r="N231" s="119">
        <f t="shared" si="70"/>
        <v>5.5268494179179246</v>
      </c>
      <c r="O231" s="34">
        <f>O204</f>
        <v>713</v>
      </c>
      <c r="P231" s="34">
        <f>P204</f>
        <v>713</v>
      </c>
      <c r="Q231" s="119">
        <f t="shared" si="71"/>
        <v>0</v>
      </c>
      <c r="R231" s="36">
        <f>A203</f>
        <v>13</v>
      </c>
      <c r="S231" s="23"/>
      <c r="T231" s="23"/>
      <c r="U231" s="1">
        <v>1</v>
      </c>
    </row>
    <row r="232" spans="1:21" s="4" customFormat="1" ht="15.75" thickBot="1">
      <c r="A232" s="131">
        <f>SUM(A224:A231)</f>
        <v>121</v>
      </c>
      <c r="B232" s="123" t="s">
        <v>204</v>
      </c>
      <c r="C232" s="49">
        <f>SUM(C224:C231)</f>
        <v>5568</v>
      </c>
      <c r="D232" s="49">
        <f>SUM(D224:D231)</f>
        <v>3617</v>
      </c>
      <c r="E232" s="49">
        <f>SUM(E224:E231)</f>
        <v>3648</v>
      </c>
      <c r="F232" s="132">
        <f t="shared" si="72"/>
        <v>0.8570638650815593</v>
      </c>
      <c r="G232" s="132">
        <f t="shared" si="68"/>
        <v>65.517241379310349</v>
      </c>
      <c r="H232" s="49">
        <f>SUM(H224:H231)</f>
        <v>28398.723316157528</v>
      </c>
      <c r="I232" s="49">
        <f>SUM(I224:I231)</f>
        <v>28801.723316157528</v>
      </c>
      <c r="J232" s="49">
        <f>SUM(J224:J231)</f>
        <v>12479974.528189642</v>
      </c>
      <c r="K232" s="49">
        <f>SUM(K224:K231)</f>
        <v>5893239</v>
      </c>
      <c r="L232" s="49">
        <f>SUM(L224:L231)</f>
        <v>5993888</v>
      </c>
      <c r="M232" s="132">
        <f t="shared" si="69"/>
        <v>1.7078723601740911</v>
      </c>
      <c r="N232" s="132">
        <f t="shared" si="70"/>
        <v>48.028046743693793</v>
      </c>
      <c r="O232" s="49">
        <f>SUM(O224:O231)</f>
        <v>354076</v>
      </c>
      <c r="P232" s="49">
        <f>SUM(P224:P231)</f>
        <v>359085</v>
      </c>
      <c r="Q232" s="132">
        <f t="shared" si="71"/>
        <v>1.4146680373705078</v>
      </c>
      <c r="R232" s="321">
        <f>SUM(R224:R231)</f>
        <v>144</v>
      </c>
      <c r="S232" s="329"/>
      <c r="T232" s="329"/>
      <c r="U232" s="1">
        <v>1</v>
      </c>
    </row>
    <row r="233" spans="1:21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1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21">
      <c r="B236" s="10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21">
      <c r="H237" s="3"/>
      <c r="I237" s="3"/>
    </row>
    <row r="238" spans="1:21">
      <c r="H238" s="3"/>
      <c r="I238" s="3"/>
    </row>
    <row r="239" spans="1:21">
      <c r="H239" s="3"/>
      <c r="I239" s="3"/>
    </row>
    <row r="240" spans="1:21">
      <c r="H240" s="3"/>
      <c r="I240" s="3"/>
    </row>
    <row r="241" spans="8:13">
      <c r="H241" s="3"/>
      <c r="I241" s="3"/>
    </row>
    <row r="242" spans="8:13">
      <c r="H242" s="3"/>
      <c r="I242" s="3"/>
    </row>
    <row r="243" spans="8:13">
      <c r="H243" s="3"/>
      <c r="I243" s="3"/>
    </row>
    <row r="244" spans="8:13">
      <c r="H244" s="3"/>
      <c r="I244" s="3"/>
    </row>
    <row r="245" spans="8:13">
      <c r="H245" s="3"/>
      <c r="I245" s="3"/>
    </row>
    <row r="246" spans="8:13">
      <c r="H246" s="3"/>
      <c r="I246" s="3"/>
    </row>
    <row r="247" spans="8:13">
      <c r="H247" s="3"/>
      <c r="I247" s="3"/>
    </row>
    <row r="248" spans="8:13">
      <c r="H248" s="3"/>
      <c r="I248" s="3"/>
    </row>
    <row r="249" spans="8:13">
      <c r="H249" s="3"/>
      <c r="I249" s="3"/>
    </row>
    <row r="250" spans="8:13">
      <c r="H250" s="3"/>
      <c r="I250" s="3"/>
    </row>
    <row r="251" spans="8:13">
      <c r="H251" s="3"/>
      <c r="I251" s="3"/>
    </row>
    <row r="255" spans="8:13">
      <c r="M255" s="25"/>
    </row>
    <row r="256" spans="8:13">
      <c r="M256" s="25"/>
    </row>
    <row r="257" spans="13:13">
      <c r="M257" s="25"/>
    </row>
    <row r="258" spans="13:13">
      <c r="M258" s="25"/>
    </row>
    <row r="259" spans="13:13">
      <c r="M259" s="25"/>
    </row>
    <row r="260" spans="13:13">
      <c r="M260" s="25"/>
    </row>
    <row r="261" spans="13:13">
      <c r="M261" s="25"/>
    </row>
    <row r="262" spans="13:13">
      <c r="M262" s="25"/>
    </row>
    <row r="263" spans="13:13">
      <c r="M263" s="25"/>
    </row>
  </sheetData>
  <autoFilter ref="R4:R232">
    <filterColumn colId="0"/>
  </autoFilter>
  <mergeCells count="13">
    <mergeCell ref="T2:T3"/>
    <mergeCell ref="S2:S3"/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2" orientation="landscape" r:id="rId1"/>
  <headerFooter alignWithMargins="0"/>
  <rowBreaks count="6" manualBreakCount="6">
    <brk id="40" max="16383" man="1"/>
    <brk id="78" max="16383" man="1"/>
    <brk id="104" max="16383" man="1"/>
    <brk id="159" max="16383" man="1"/>
    <brk id="188" max="16383" man="1"/>
    <brk id="206" max="16383" man="1"/>
  </rowBreaks>
  <colBreaks count="1" manualBreakCount="1">
    <brk id="20" max="2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66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A6" sqref="A6:B6"/>
    </sheetView>
  </sheetViews>
  <sheetFormatPr defaultRowHeight="12.75"/>
  <cols>
    <col min="1" max="1" width="30" style="67" customWidth="1"/>
    <col min="2" max="2" width="21.7109375" style="67" customWidth="1"/>
    <col min="3" max="3" width="9.7109375" style="67" customWidth="1"/>
    <col min="4" max="4" width="10.7109375" style="53" customWidth="1"/>
    <col min="5" max="5" width="10.7109375" style="142" bestFit="1" customWidth="1"/>
    <col min="6" max="6" width="12.7109375" style="53" customWidth="1"/>
    <col min="7" max="7" width="12.140625" style="53" bestFit="1" customWidth="1"/>
    <col min="8" max="8" width="14.7109375" style="53" customWidth="1"/>
    <col min="9" max="9" width="9.7109375" style="53" customWidth="1"/>
    <col min="10" max="10" width="10.7109375" style="53" customWidth="1"/>
    <col min="11" max="11" width="12.140625" style="53" bestFit="1" customWidth="1"/>
    <col min="12" max="12" width="10.7109375" style="53" bestFit="1" customWidth="1"/>
    <col min="13" max="13" width="12.140625" style="53" bestFit="1" customWidth="1"/>
    <col min="14" max="14" width="10" style="53" bestFit="1" customWidth="1"/>
    <col min="15" max="15" width="13.140625" style="53" bestFit="1" customWidth="1"/>
    <col min="16" max="16" width="12.42578125" style="53" bestFit="1" customWidth="1"/>
    <col min="17" max="17" width="9.140625" style="53"/>
    <col min="18" max="19" width="10.85546875" style="53" bestFit="1" customWidth="1"/>
    <col min="20" max="24" width="9.140625" style="53"/>
    <col min="25" max="26" width="9.28515625" style="53" bestFit="1" customWidth="1"/>
    <col min="27" max="28" width="9.85546875" style="53" bestFit="1" customWidth="1"/>
    <col min="29" max="29" width="12.42578125" style="53" bestFit="1" customWidth="1"/>
    <col min="30" max="30" width="10.85546875" style="53" bestFit="1" customWidth="1"/>
    <col min="31" max="31" width="9.28515625" style="53" bestFit="1" customWidth="1"/>
    <col min="32" max="32" width="12.42578125" style="53" bestFit="1" customWidth="1"/>
    <col min="33" max="34" width="10.85546875" style="53" bestFit="1" customWidth="1"/>
    <col min="35" max="35" width="12.42578125" style="53" bestFit="1" customWidth="1"/>
    <col min="36" max="36" width="9.140625" style="53"/>
    <col min="37" max="37" width="10.85546875" style="53" bestFit="1" customWidth="1"/>
    <col min="38" max="16384" width="9.140625" style="53"/>
  </cols>
  <sheetData>
    <row r="1" spans="1:35" ht="13.5" thickBot="1">
      <c r="A1" s="106" t="s">
        <v>337</v>
      </c>
      <c r="B1" s="53"/>
      <c r="C1" s="53"/>
      <c r="D1" s="68"/>
      <c r="E1" s="143"/>
      <c r="F1" s="68"/>
      <c r="G1" s="52"/>
      <c r="H1" s="52"/>
      <c r="I1" s="68"/>
      <c r="J1" s="68"/>
      <c r="K1" s="68"/>
      <c r="L1" s="68"/>
      <c r="AD1" s="53" t="s">
        <v>321</v>
      </c>
    </row>
    <row r="2" spans="1:35" s="69" customFormat="1" ht="31.5" customHeight="1">
      <c r="A2" s="381" t="s">
        <v>0</v>
      </c>
      <c r="B2" s="382"/>
      <c r="C2" s="259" t="s">
        <v>271</v>
      </c>
      <c r="D2" s="258" t="s">
        <v>2</v>
      </c>
      <c r="E2" s="258" t="s">
        <v>3</v>
      </c>
      <c r="F2" s="258" t="s">
        <v>4</v>
      </c>
      <c r="G2" s="141" t="s">
        <v>5</v>
      </c>
      <c r="H2" s="258" t="s">
        <v>6</v>
      </c>
      <c r="I2" s="258" t="s">
        <v>7</v>
      </c>
      <c r="J2" s="258" t="s">
        <v>8</v>
      </c>
      <c r="K2" s="258" t="s">
        <v>9</v>
      </c>
      <c r="L2" s="258" t="s">
        <v>10</v>
      </c>
      <c r="M2" s="70" t="s">
        <v>16</v>
      </c>
      <c r="O2" s="340"/>
    </row>
    <row r="3" spans="1:35" ht="14.25" customHeight="1">
      <c r="A3" s="54"/>
      <c r="B3" s="55"/>
      <c r="C3" s="55"/>
      <c r="D3" s="87"/>
      <c r="E3" s="87"/>
      <c r="F3" s="87"/>
      <c r="G3" s="87"/>
      <c r="H3" s="87"/>
      <c r="I3" s="87"/>
      <c r="J3" s="87"/>
      <c r="K3" s="87"/>
      <c r="L3" s="87"/>
      <c r="M3" s="87"/>
      <c r="Y3" s="56" t="str">
        <f t="shared" ref="Y3:AI3" si="0">C2</f>
        <v>AJKRSP+</v>
      </c>
      <c r="Z3" s="56" t="str">
        <f t="shared" si="0"/>
        <v>AKRSP</v>
      </c>
      <c r="AA3" s="56" t="str">
        <f t="shared" si="0"/>
        <v>BRSP</v>
      </c>
      <c r="AB3" s="56" t="str">
        <f t="shared" si="0"/>
        <v>GBTI</v>
      </c>
      <c r="AC3" s="56" t="str">
        <f t="shared" si="0"/>
        <v>NRSP</v>
      </c>
      <c r="AD3" s="56" t="str">
        <f t="shared" si="0"/>
        <v>PRSP</v>
      </c>
      <c r="AE3" s="56" t="str">
        <f t="shared" si="0"/>
        <v>SGA</v>
      </c>
      <c r="AF3" s="56" t="str">
        <f t="shared" si="0"/>
        <v>SRSO</v>
      </c>
      <c r="AG3" s="56" t="str">
        <f t="shared" si="0"/>
        <v>SRSP</v>
      </c>
      <c r="AH3" s="56" t="str">
        <f t="shared" si="0"/>
        <v>TRDP</v>
      </c>
      <c r="AI3" s="56" t="str">
        <f t="shared" si="0"/>
        <v xml:space="preserve">Total </v>
      </c>
    </row>
    <row r="4" spans="1:35" s="56" customFormat="1" ht="19.5" customHeight="1">
      <c r="A4" s="383" t="s">
        <v>220</v>
      </c>
      <c r="B4" s="383"/>
      <c r="C4" s="139">
        <v>8</v>
      </c>
      <c r="D4" s="139">
        <f>'1.RSP Districts '!A211</f>
        <v>7</v>
      </c>
      <c r="E4" s="139">
        <f>'1.RSP Districts '!A212</f>
        <v>15</v>
      </c>
      <c r="F4" s="139">
        <f>'1.RSP Districts '!A213</f>
        <v>3</v>
      </c>
      <c r="G4" s="139">
        <f>'1.RSP Districts '!A214</f>
        <v>57</v>
      </c>
      <c r="H4" s="139">
        <f>'1.RSP Districts '!A215</f>
        <v>21</v>
      </c>
      <c r="I4" s="139">
        <f>'1.RSP Districts '!A216</f>
        <v>1</v>
      </c>
      <c r="J4" s="139">
        <f>'1.RSP Districts '!A217</f>
        <v>9</v>
      </c>
      <c r="K4" s="139">
        <f>'1.RSP Districts '!A218</f>
        <v>25</v>
      </c>
      <c r="L4" s="139">
        <f>'1.RSP Districts '!A219</f>
        <v>4</v>
      </c>
      <c r="M4" s="139">
        <f>SUM(C4:L4)-29</f>
        <v>121</v>
      </c>
      <c r="N4" s="74"/>
      <c r="O4" s="61"/>
      <c r="Y4" s="61">
        <f>C4-'2. Overall cum progress Sept14'!C4</f>
        <v>0</v>
      </c>
      <c r="Z4" s="61">
        <f>D4-'2. Overall cum progress Sept14'!D4</f>
        <v>0</v>
      </c>
      <c r="AA4" s="61">
        <f>E4-'2. Overall cum progress Sept14'!E4</f>
        <v>1</v>
      </c>
      <c r="AB4" s="61">
        <f>F4-'2. Overall cum progress Sept14'!F4</f>
        <v>0</v>
      </c>
      <c r="AC4" s="61">
        <f>G4-'2. Overall cum progress Sept14'!G4</f>
        <v>1</v>
      </c>
      <c r="AD4" s="61">
        <f>H4-'2. Overall cum progress Sept14'!H4</f>
        <v>0</v>
      </c>
      <c r="AE4" s="61">
        <f>I4-'2. Overall cum progress Sept14'!I4</f>
        <v>0</v>
      </c>
      <c r="AF4" s="61">
        <f>J4-'2. Overall cum progress Sept14'!J4</f>
        <v>0</v>
      </c>
      <c r="AG4" s="61">
        <f>K4-'2. Overall cum progress Sept14'!K4</f>
        <v>0</v>
      </c>
      <c r="AH4" s="61">
        <f>L4-'2. Overall cum progress Sept14'!L4</f>
        <v>0</v>
      </c>
      <c r="AI4" s="61">
        <f>M4-'2. Overall cum progress Sept14'!M4</f>
        <v>1</v>
      </c>
    </row>
    <row r="5" spans="1:35" s="56" customFormat="1">
      <c r="A5" s="384" t="s">
        <v>11</v>
      </c>
      <c r="B5" s="383"/>
      <c r="C5" s="139">
        <v>136</v>
      </c>
      <c r="D5" s="122">
        <f>'1.RSP Districts '!E211</f>
        <v>118</v>
      </c>
      <c r="E5" s="122">
        <f>'1.RSP Districts '!E212</f>
        <v>206</v>
      </c>
      <c r="F5" s="122">
        <f>'1.RSP Districts '!E213</f>
        <v>22</v>
      </c>
      <c r="G5" s="122">
        <f>'1.RSP Districts '!E214</f>
        <v>2109</v>
      </c>
      <c r="H5" s="122">
        <f>'1.RSP Districts '!E215</f>
        <v>718</v>
      </c>
      <c r="I5" s="122">
        <f>'1.RSP Districts '!E216</f>
        <v>13</v>
      </c>
      <c r="J5" s="122">
        <f>'1.RSP Districts '!E217</f>
        <v>342</v>
      </c>
      <c r="K5" s="122">
        <f>'1.RSP Districts '!E218</f>
        <v>585</v>
      </c>
      <c r="L5" s="122">
        <f>'1.RSP Districts '!E219</f>
        <v>113</v>
      </c>
      <c r="M5" s="139">
        <f>SUM(C5:L5)-712</f>
        <v>3650</v>
      </c>
      <c r="N5" s="74">
        <f>M5-'1.RSP Districts '!E232</f>
        <v>2</v>
      </c>
      <c r="O5" s="61"/>
      <c r="Y5" s="61">
        <f>C5-'2. Overall cum progress Sept14'!C5</f>
        <v>136</v>
      </c>
      <c r="Z5" s="61">
        <f>D5-'2. Overall cum progress Sept14'!D5</f>
        <v>118</v>
      </c>
      <c r="AA5" s="61">
        <f>E5-'2. Overall cum progress Sept14'!E5</f>
        <v>206</v>
      </c>
      <c r="AB5" s="61">
        <f>F5-'2. Overall cum progress Sept14'!F5</f>
        <v>22</v>
      </c>
      <c r="AC5" s="61">
        <f>G5-'2. Overall cum progress Sept14'!G5</f>
        <v>2109</v>
      </c>
      <c r="AD5" s="61">
        <f>H5-'2. Overall cum progress Sept14'!H5</f>
        <v>718</v>
      </c>
      <c r="AE5" s="61">
        <f>I5-'2. Overall cum progress Sept14'!I5</f>
        <v>13</v>
      </c>
      <c r="AF5" s="61">
        <f>J5-'2. Overall cum progress Sept14'!J5</f>
        <v>342</v>
      </c>
      <c r="AG5" s="61">
        <f>K5-'2. Overall cum progress Sept14'!K5</f>
        <v>585</v>
      </c>
      <c r="AH5" s="61">
        <f>L5-'2. Overall cum progress Sept14'!L5</f>
        <v>113</v>
      </c>
      <c r="AI5" s="61">
        <f>M5-'2. Overall cum progress Sept14'!M5</f>
        <v>3650</v>
      </c>
    </row>
    <row r="6" spans="1:35" s="56" customFormat="1">
      <c r="A6" s="384" t="s">
        <v>286</v>
      </c>
      <c r="B6" s="383"/>
      <c r="C6" s="139">
        <v>102320</v>
      </c>
      <c r="D6" s="139">
        <f>'1.RSP Districts '!L211</f>
        <v>113737</v>
      </c>
      <c r="E6" s="139">
        <f>'1.RSP Districts '!L212</f>
        <v>205990</v>
      </c>
      <c r="F6" s="139">
        <f>'1.RSP Districts '!L213</f>
        <v>35396</v>
      </c>
      <c r="G6" s="148">
        <f>'1.RSP Districts '!L214</f>
        <v>2545927</v>
      </c>
      <c r="H6" s="139">
        <f>'1.RSP Districts '!L215</f>
        <v>1307686</v>
      </c>
      <c r="I6" s="139">
        <f>'1.RSP Districts '!L216</f>
        <v>16500</v>
      </c>
      <c r="J6" s="139">
        <f>'1.RSP Districts '!L217</f>
        <v>594699</v>
      </c>
      <c r="K6" s="139">
        <f>'1.RSP Districts '!L218</f>
        <v>798909</v>
      </c>
      <c r="L6" s="139">
        <f>'1.RSP Districts '!L219</f>
        <v>272724</v>
      </c>
      <c r="M6" s="139">
        <f>SUM(C6:L6)</f>
        <v>5993888</v>
      </c>
      <c r="N6" s="75">
        <f>M6/1000000</f>
        <v>5.9938880000000001</v>
      </c>
      <c r="O6" s="60">
        <f>N6*6.5</f>
        <v>38.960272000000003</v>
      </c>
      <c r="P6" s="56">
        <f>200+90+160+54</f>
        <v>504</v>
      </c>
      <c r="R6" s="56">
        <v>4750</v>
      </c>
      <c r="Y6" s="61">
        <f>C6-'2. Overall cum progress Sept14'!C6</f>
        <v>102320</v>
      </c>
      <c r="Z6" s="61">
        <f>D6-'2. Overall cum progress Sept14'!D6</f>
        <v>113737</v>
      </c>
      <c r="AA6" s="61">
        <f>E6-'2. Overall cum progress Sept14'!E6</f>
        <v>205990</v>
      </c>
      <c r="AB6" s="61">
        <f>F6-'2. Overall cum progress Sept14'!F6</f>
        <v>35396</v>
      </c>
      <c r="AC6" s="61">
        <f>G6-'2. Overall cum progress Sept14'!G6</f>
        <v>2545927</v>
      </c>
      <c r="AD6" s="61">
        <f>H6-'2. Overall cum progress Sept14'!H6</f>
        <v>1307686</v>
      </c>
      <c r="AE6" s="61">
        <f>I6-'2. Overall cum progress Sept14'!I6</f>
        <v>16500</v>
      </c>
      <c r="AF6" s="61">
        <f>J6-'2. Overall cum progress Sept14'!J6</f>
        <v>594699</v>
      </c>
      <c r="AG6" s="61">
        <f>K6-'2. Overall cum progress Sept14'!K6</f>
        <v>798909</v>
      </c>
      <c r="AH6" s="61">
        <f>L6-'2. Overall cum progress Sept14'!L6</f>
        <v>272724</v>
      </c>
      <c r="AI6" s="61">
        <f>M6-'2. Overall cum progress Sept14'!M6</f>
        <v>5993888</v>
      </c>
    </row>
    <row r="7" spans="1:35" s="56" customFormat="1">
      <c r="A7" s="384" t="s">
        <v>12</v>
      </c>
      <c r="B7" s="383"/>
      <c r="C7" s="148">
        <v>0</v>
      </c>
      <c r="D7" s="148">
        <f>'[10]2. Overall cum progress Dec)'!D7</f>
        <v>75</v>
      </c>
      <c r="E7" s="148">
        <f>'[15]Main Sheet'!$A$117</f>
        <v>48</v>
      </c>
      <c r="F7" s="148">
        <f>'[15]Main Sheet'!$A$365</f>
        <v>8</v>
      </c>
      <c r="G7" s="148">
        <f>'[15]Main Sheet'!$A$242</f>
        <v>645</v>
      </c>
      <c r="H7" s="139">
        <f>'[15]Main Sheet'!$A$354</f>
        <v>52</v>
      </c>
      <c r="I7" s="310">
        <f>'[15]Main Sheet'!$A$502</f>
        <v>1</v>
      </c>
      <c r="J7" s="148">
        <f>'[15]Main Sheet'!$A$497</f>
        <v>128</v>
      </c>
      <c r="K7" s="148">
        <f>'[15]Main Sheet'!$A$240</f>
        <v>119</v>
      </c>
      <c r="L7" s="148">
        <f>'[15]Main Sheet'!$A$298</f>
        <v>52</v>
      </c>
      <c r="M7" s="139">
        <f>SUM(C7:L7)</f>
        <v>1128</v>
      </c>
      <c r="N7" s="74"/>
      <c r="O7" s="61"/>
      <c r="P7" s="56">
        <f>266298-265794</f>
        <v>504</v>
      </c>
      <c r="R7" s="56">
        <v>5064</v>
      </c>
      <c r="Y7" s="61">
        <f>C7-'2. Overall cum progress Sept14'!C7</f>
        <v>0</v>
      </c>
      <c r="Z7" s="61">
        <f>D7-'2. Overall cum progress Sept14'!D7</f>
        <v>16</v>
      </c>
      <c r="AA7" s="61">
        <f>E7-'2. Overall cum progress Sept14'!E7</f>
        <v>0</v>
      </c>
      <c r="AB7" s="61">
        <f>F7-'2. Overall cum progress Sept14'!F7</f>
        <v>0</v>
      </c>
      <c r="AC7" s="61">
        <f>G7-'2. Overall cum progress Sept14'!G7</f>
        <v>18</v>
      </c>
      <c r="AD7" s="61">
        <f>H7-'2. Overall cum progress Sept14'!H7</f>
        <v>4</v>
      </c>
      <c r="AE7" s="61">
        <f>I7-'2. Overall cum progress Sept14'!I7</f>
        <v>0</v>
      </c>
      <c r="AF7" s="61">
        <f>J7-'2. Overall cum progress Sept14'!J7</f>
        <v>0</v>
      </c>
      <c r="AG7" s="61">
        <f>K7-'2. Overall cum progress Sept14'!K7</f>
        <v>2</v>
      </c>
      <c r="AH7" s="61">
        <f>L7-'2. Overall cum progress Sept14'!L7</f>
        <v>0</v>
      </c>
      <c r="AI7" s="61">
        <f>M7-'2. Overall cum progress Sept14'!M7</f>
        <v>40</v>
      </c>
    </row>
    <row r="8" spans="1:35" s="56" customFormat="1">
      <c r="A8" s="367" t="s">
        <v>287</v>
      </c>
      <c r="B8" s="96" t="s">
        <v>13</v>
      </c>
      <c r="C8" s="148">
        <v>1577</v>
      </c>
      <c r="D8" s="148">
        <f>'[10]2. Overall cum progress Dec)'!D8</f>
        <v>2171</v>
      </c>
      <c r="E8" s="148">
        <f>'[5]2. Overall cum progress Dec)'!E8</f>
        <v>3702</v>
      </c>
      <c r="F8" s="148">
        <f>'[2]2. Overall cum progress Dec)'!F8</f>
        <v>1758</v>
      </c>
      <c r="G8" s="148">
        <f>'[3]2. Overall cum progress Dec)'!G8</f>
        <v>78902</v>
      </c>
      <c r="H8" s="139">
        <f>'[14]2. Overall cum progress Dec)'!H8</f>
        <v>32639</v>
      </c>
      <c r="I8" s="310">
        <f>'[16]2. Overall cum progress Dec)'!I8</f>
        <v>410</v>
      </c>
      <c r="J8" s="148">
        <f>'[13]2. Overall cum progress Dec)'!J8</f>
        <v>33043</v>
      </c>
      <c r="K8" s="148">
        <f>'[7]2. Overall cum progress Dec)'!K8</f>
        <v>10742</v>
      </c>
      <c r="L8" s="148">
        <f>'[11]2. Overall cum progress Dec)'!L8</f>
        <v>8642</v>
      </c>
      <c r="M8" s="139">
        <f>SUM(C8:L8)</f>
        <v>173586</v>
      </c>
      <c r="N8" s="75">
        <f>M8/M11%</f>
        <v>48.341200551401478</v>
      </c>
      <c r="O8" s="61"/>
      <c r="P8" s="56" t="s">
        <v>242</v>
      </c>
      <c r="R8" s="56">
        <v>12340</v>
      </c>
      <c r="Y8" s="61">
        <f>C8-'2. Overall cum progress Sept14'!C8</f>
        <v>0</v>
      </c>
      <c r="Z8" s="61">
        <f>D8-'2. Overall cum progress Sept14'!D8</f>
        <v>0</v>
      </c>
      <c r="AA8" s="61">
        <f>E8-'2. Overall cum progress Sept14'!E8</f>
        <v>38</v>
      </c>
      <c r="AB8" s="61">
        <f>F8-'2. Overall cum progress Sept14'!F8</f>
        <v>11</v>
      </c>
      <c r="AC8" s="61">
        <f>G8-'2. Overall cum progress Sept14'!G8</f>
        <v>1252</v>
      </c>
      <c r="AD8" s="61">
        <f>H8-'2. Overall cum progress Sept14'!H8</f>
        <v>655</v>
      </c>
      <c r="AE8" s="61">
        <f>I8-'2. Overall cum progress Sept14'!I8</f>
        <v>0</v>
      </c>
      <c r="AF8" s="61">
        <f>J8-'2. Overall cum progress Sept14'!J8</f>
        <v>90</v>
      </c>
      <c r="AG8" s="61">
        <f>K8-'2. Overall cum progress Sept14'!K8</f>
        <v>123</v>
      </c>
      <c r="AH8" s="61">
        <f>L8-'2. Overall cum progress Sept14'!L8</f>
        <v>0</v>
      </c>
      <c r="AI8" s="61">
        <f>M8-'2. Overall cum progress Sept14'!M8</f>
        <v>2169</v>
      </c>
    </row>
    <row r="9" spans="1:35" s="56" customFormat="1">
      <c r="A9" s="367"/>
      <c r="B9" s="97" t="s">
        <v>14</v>
      </c>
      <c r="C9" s="148">
        <v>2138</v>
      </c>
      <c r="D9" s="148">
        <f>'[10]2. Overall cum progress Dec)'!D9</f>
        <v>2893</v>
      </c>
      <c r="E9" s="148">
        <f>'[5]2. Overall cum progress Dec)'!E9</f>
        <v>8584</v>
      </c>
      <c r="F9" s="148">
        <f>'[2]2. Overall cum progress Dec)'!F9</f>
        <v>1427</v>
      </c>
      <c r="G9" s="148">
        <f>'[3]2. Overall cum progress Dec)'!G9</f>
        <v>77406</v>
      </c>
      <c r="H9" s="139">
        <f>'[14]2. Overall cum progress Dec)'!H9</f>
        <v>45223</v>
      </c>
      <c r="I9" s="310">
        <f>'[16]2. Overall cum progress Dec)'!I9</f>
        <v>450</v>
      </c>
      <c r="J9" s="148">
        <f>'[13]2. Overall cum progress Dec)'!J9</f>
        <v>4159</v>
      </c>
      <c r="K9" s="148">
        <f>'[7]2. Overall cum progress Dec)'!K9-34</f>
        <v>22324</v>
      </c>
      <c r="L9" s="148">
        <f>'[11]2. Overall cum progress Dec)'!L9</f>
        <v>5943</v>
      </c>
      <c r="M9" s="139">
        <f>SUM(C9:L9)</f>
        <v>170547</v>
      </c>
      <c r="N9" s="74"/>
      <c r="O9" s="61"/>
      <c r="P9" s="56">
        <v>19</v>
      </c>
      <c r="Q9" s="56">
        <f>P9*18</f>
        <v>342</v>
      </c>
      <c r="R9" s="56">
        <v>3185</v>
      </c>
      <c r="Y9" s="61">
        <f>C9-'2. Overall cum progress Sept14'!C9</f>
        <v>0</v>
      </c>
      <c r="Z9" s="61">
        <f>D9-'2. Overall cum progress Sept14'!D9</f>
        <v>0</v>
      </c>
      <c r="AA9" s="61">
        <f>E9-'2. Overall cum progress Sept14'!E9</f>
        <v>149</v>
      </c>
      <c r="AB9" s="61">
        <f>F9-'2. Overall cum progress Sept14'!F9</f>
        <v>7</v>
      </c>
      <c r="AC9" s="61">
        <f>G9-'2. Overall cum progress Sept14'!G9</f>
        <v>1176</v>
      </c>
      <c r="AD9" s="61">
        <f>H9-'2. Overall cum progress Sept14'!H9</f>
        <v>699</v>
      </c>
      <c r="AE9" s="61">
        <f>I9-'2. Overall cum progress Sept14'!I9</f>
        <v>0</v>
      </c>
      <c r="AF9" s="61">
        <f>J9-'2. Overall cum progress Sept14'!J9</f>
        <v>0</v>
      </c>
      <c r="AG9" s="61">
        <f>K9-'2. Overall cum progress Sept14'!K9</f>
        <v>257</v>
      </c>
      <c r="AH9" s="61">
        <f>L9-'2. Overall cum progress Sept14'!L9</f>
        <v>110</v>
      </c>
      <c r="AI9" s="61">
        <f>M9-'2. Overall cum progress Sept14'!M9</f>
        <v>2398</v>
      </c>
    </row>
    <row r="10" spans="1:35" s="56" customFormat="1">
      <c r="A10" s="367"/>
      <c r="B10" s="97" t="s">
        <v>15</v>
      </c>
      <c r="C10" s="148">
        <v>1035</v>
      </c>
      <c r="D10" s="148">
        <f>'[10]2. Overall cum progress Dec)'!D10</f>
        <v>0</v>
      </c>
      <c r="E10" s="148">
        <f>'[5]2. Overall cum progress Dec)'!E10</f>
        <v>54</v>
      </c>
      <c r="F10" s="148">
        <f>'[2]2. Overall cum progress Dec)'!F10</f>
        <v>0</v>
      </c>
      <c r="G10" s="148">
        <f>'[3]2. Overall cum progress Dec)'!G10</f>
        <v>11839</v>
      </c>
      <c r="H10" s="139">
        <f>'[14]2. Overall cum progress Dec)'!H10</f>
        <v>0</v>
      </c>
      <c r="I10" s="310" t="str">
        <f>'[16]2. Overall cum progress Dec)'!I10</f>
        <v>-</v>
      </c>
      <c r="J10" s="148">
        <f>'[13]2. Overall cum progress Dec)'!J10</f>
        <v>40</v>
      </c>
      <c r="K10" s="148">
        <f>'[7]2. Overall cum progress Dec)'!K10</f>
        <v>0</v>
      </c>
      <c r="L10" s="148">
        <f>'[11]2. Overall cum progress Dec)'!L10</f>
        <v>1984</v>
      </c>
      <c r="M10" s="139">
        <f>SUM(C10:L10)</f>
        <v>14952</v>
      </c>
      <c r="N10" s="74" t="e">
        <f>(M11-N11)/N11%</f>
        <v>#DIV/0!</v>
      </c>
      <c r="O10" s="61"/>
      <c r="P10" s="56">
        <v>6</v>
      </c>
      <c r="Q10" s="56">
        <v>120</v>
      </c>
      <c r="R10" s="56">
        <v>168147</v>
      </c>
      <c r="Y10" s="61">
        <f>C10-'2. Overall cum progress Sept14'!C10</f>
        <v>0</v>
      </c>
      <c r="Z10" s="61">
        <f>D10-'2. Overall cum progress Sept14'!D10</f>
        <v>0</v>
      </c>
      <c r="AA10" s="61">
        <f>E10-'2. Overall cum progress Sept14'!E10</f>
        <v>54</v>
      </c>
      <c r="AB10" s="61">
        <f>F10-'2. Overall cum progress Sept14'!F10</f>
        <v>0</v>
      </c>
      <c r="AC10" s="61">
        <f>G10-'2. Overall cum progress Sept14'!G10</f>
        <v>194</v>
      </c>
      <c r="AD10" s="61">
        <f>H10-'2. Overall cum progress Sept14'!H10</f>
        <v>0</v>
      </c>
      <c r="AE10" s="61" t="e">
        <f>I10-'2. Overall cum progress Sept14'!I10</f>
        <v>#VALUE!</v>
      </c>
      <c r="AF10" s="61">
        <f>J10-'2. Overall cum progress Sept14'!J10</f>
        <v>0</v>
      </c>
      <c r="AG10" s="61">
        <f>K10-'2. Overall cum progress Sept14'!K10</f>
        <v>0</v>
      </c>
      <c r="AH10" s="61">
        <f>L10-'2. Overall cum progress Sept14'!L10</f>
        <v>0</v>
      </c>
      <c r="AI10" s="61">
        <f>M10-'2. Overall cum progress Sept14'!M10</f>
        <v>248</v>
      </c>
    </row>
    <row r="11" spans="1:35" s="56" customFormat="1">
      <c r="A11" s="367"/>
      <c r="B11" s="98" t="s">
        <v>16</v>
      </c>
      <c r="C11" s="140">
        <v>4750</v>
      </c>
      <c r="D11" s="140">
        <f t="shared" ref="D11:L11" si="1">SUM(D8:D10)</f>
        <v>5064</v>
      </c>
      <c r="E11" s="140">
        <f t="shared" si="1"/>
        <v>12340</v>
      </c>
      <c r="F11" s="203">
        <f t="shared" si="1"/>
        <v>3185</v>
      </c>
      <c r="G11" s="203">
        <f t="shared" si="1"/>
        <v>168147</v>
      </c>
      <c r="H11" s="140">
        <f t="shared" si="1"/>
        <v>77862</v>
      </c>
      <c r="I11" s="140">
        <f t="shared" si="1"/>
        <v>860</v>
      </c>
      <c r="J11" s="140">
        <f t="shared" si="1"/>
        <v>37242</v>
      </c>
      <c r="K11" s="203">
        <f>SUM(K8:K10)</f>
        <v>33066</v>
      </c>
      <c r="L11" s="203">
        <f t="shared" si="1"/>
        <v>16569</v>
      </c>
      <c r="M11" s="140">
        <f>SUM(M8:M10)</f>
        <v>359085</v>
      </c>
      <c r="N11" s="74"/>
      <c r="O11" s="61">
        <f>L11-16178</f>
        <v>391</v>
      </c>
      <c r="P11" s="56">
        <v>2</v>
      </c>
      <c r="Q11" s="56">
        <v>40</v>
      </c>
      <c r="R11" s="56">
        <v>77862</v>
      </c>
      <c r="Y11" s="61">
        <f>C11-'2. Overall cum progress Sept14'!C11</f>
        <v>0</v>
      </c>
      <c r="Z11" s="61">
        <f>D11-'2. Overall cum progress Sept14'!D11</f>
        <v>0</v>
      </c>
      <c r="AA11" s="61">
        <f>E11-'2. Overall cum progress Sept14'!E11</f>
        <v>241</v>
      </c>
      <c r="AB11" s="61">
        <f>F11-'2. Overall cum progress Sept14'!F11</f>
        <v>18</v>
      </c>
      <c r="AC11" s="61">
        <f>G11-'2. Overall cum progress Sept14'!G11</f>
        <v>2622</v>
      </c>
      <c r="AD11" s="61">
        <f>H11-'2. Overall cum progress Sept14'!H11</f>
        <v>1354</v>
      </c>
      <c r="AE11" s="61">
        <f>I11-'2. Overall cum progress Sept14'!I11</f>
        <v>0</v>
      </c>
      <c r="AF11" s="61">
        <f>J11-'2. Overall cum progress Sept14'!J11</f>
        <v>90</v>
      </c>
      <c r="AG11" s="61">
        <f>K11-'2. Overall cum progress Sept14'!K11</f>
        <v>380</v>
      </c>
      <c r="AH11" s="61">
        <f>L11-'2. Overall cum progress Sept14'!L11</f>
        <v>110</v>
      </c>
      <c r="AI11" s="61">
        <f>M11-'2. Overall cum progress Sept14'!M11</f>
        <v>4815</v>
      </c>
    </row>
    <row r="12" spans="1:35" s="56" customFormat="1">
      <c r="A12" s="372" t="s">
        <v>302</v>
      </c>
      <c r="B12" s="96" t="s">
        <v>17</v>
      </c>
      <c r="C12" s="148">
        <v>44063</v>
      </c>
      <c r="D12" s="148">
        <f>'[10]2. Overall cum progress Dec)'!D12</f>
        <v>84455</v>
      </c>
      <c r="E12" s="148">
        <f>'[5]2. Overall cum progress Dec)'!E12</f>
        <v>61480</v>
      </c>
      <c r="F12" s="148">
        <f>'[2]2. Overall cum progress Dec)'!F12</f>
        <v>26321</v>
      </c>
      <c r="G12" s="148">
        <f>'[3]2. Overall cum progress Dec)'!G12</f>
        <v>1395439</v>
      </c>
      <c r="H12" s="139">
        <f>'[14]2. Overall cum progress Dec)'!H12</f>
        <v>541130</v>
      </c>
      <c r="I12" s="310">
        <f>'[16]2. Overall cum progress Dec)'!I12</f>
        <v>10845</v>
      </c>
      <c r="J12" s="148">
        <f>'[13]2. Overall cum progress Dec)'!J12</f>
        <v>556037</v>
      </c>
      <c r="K12" s="148">
        <f>'[7]2. Overall cum progress Dec)'!K12</f>
        <v>246402</v>
      </c>
      <c r="L12" s="148">
        <f>'[11]2. Overall cum progress Dec)'!L12</f>
        <v>178638</v>
      </c>
      <c r="M12" s="139">
        <f t="shared" ref="M12:M13" si="2">SUM(C12:L12)</f>
        <v>3144810</v>
      </c>
      <c r="N12" s="102">
        <f>M12/M14%</f>
        <v>50.961298348705562</v>
      </c>
      <c r="O12" s="61"/>
      <c r="Q12" s="56">
        <f>SUM(Q9:Q11)</f>
        <v>502</v>
      </c>
      <c r="R12" s="56">
        <v>860</v>
      </c>
      <c r="Y12" s="61">
        <f>C12-'2. Overall cum progress Sept14'!C12</f>
        <v>0</v>
      </c>
      <c r="Z12" s="61">
        <f>D12-'2. Overall cum progress Sept14'!D12</f>
        <v>0</v>
      </c>
      <c r="AA12" s="61">
        <f>E12-'2. Overall cum progress Sept14'!E12</f>
        <v>660</v>
      </c>
      <c r="AB12" s="61">
        <f>F12-'2. Overall cum progress Sept14'!F12</f>
        <v>-2711</v>
      </c>
      <c r="AC12" s="61">
        <f>G12-'2. Overall cum progress Sept14'!G12</f>
        <v>21012</v>
      </c>
      <c r="AD12" s="61">
        <f>H12-'2. Overall cum progress Sept14'!H12</f>
        <v>10033</v>
      </c>
      <c r="AE12" s="61">
        <f>I12-'2. Overall cum progress Sept14'!I12</f>
        <v>0</v>
      </c>
      <c r="AF12" s="61">
        <f>J12-'2. Overall cum progress Sept14'!J12</f>
        <v>1465</v>
      </c>
      <c r="AG12" s="61">
        <f>K12-'2. Overall cum progress Sept14'!K12</f>
        <v>4554</v>
      </c>
      <c r="AH12" s="61">
        <f>L12-'2. Overall cum progress Sept14'!L12</f>
        <v>0</v>
      </c>
      <c r="AI12" s="61">
        <f>M12-'2. Overall cum progress Sept14'!M12</f>
        <v>35013</v>
      </c>
    </row>
    <row r="13" spans="1:35" s="56" customFormat="1">
      <c r="A13" s="372"/>
      <c r="B13" s="97" t="s">
        <v>18</v>
      </c>
      <c r="C13" s="148">
        <v>58257</v>
      </c>
      <c r="D13" s="148">
        <f>'[10]2. Overall cum progress Dec)'!D13</f>
        <v>121509</v>
      </c>
      <c r="E13" s="148">
        <f>'[5]2. Overall cum progress Dec)'!E13+5743</f>
        <v>144510</v>
      </c>
      <c r="F13" s="148">
        <f>'[2]2. Overall cum progress Dec)'!F13</f>
        <v>29212</v>
      </c>
      <c r="G13" s="148">
        <f>'[3]2. Overall cum progress Dec)'!G13</f>
        <v>1148741</v>
      </c>
      <c r="H13" s="139">
        <f>'[14]2. Overall cum progress Dec)'!H13</f>
        <v>776558</v>
      </c>
      <c r="I13" s="310">
        <f>'[16]2. Overall cum progress Dec)'!I13</f>
        <v>11348</v>
      </c>
      <c r="J13" s="148">
        <f>'[13]2. Overall cum progress Dec)'!J13</f>
        <v>38662</v>
      </c>
      <c r="K13" s="148">
        <f>'[7]2. Overall cum progress Dec)'!K13</f>
        <v>553187</v>
      </c>
      <c r="L13" s="148">
        <f>'[11]2. Overall cum progress Dec)'!L13</f>
        <v>144183</v>
      </c>
      <c r="M13" s="139">
        <f t="shared" si="2"/>
        <v>3026167</v>
      </c>
      <c r="N13" s="74"/>
      <c r="O13" s="61"/>
      <c r="R13" s="56">
        <v>37242</v>
      </c>
      <c r="Y13" s="61">
        <f>C13-'2. Overall cum progress Sept14'!C13</f>
        <v>0</v>
      </c>
      <c r="Z13" s="61">
        <f>D13-'2. Overall cum progress Sept14'!D13</f>
        <v>0</v>
      </c>
      <c r="AA13" s="61">
        <f>E13-'2. Overall cum progress Sept14'!E13</f>
        <v>6903</v>
      </c>
      <c r="AB13" s="61">
        <f>F13-'2. Overall cum progress Sept14'!F13</f>
        <v>2950</v>
      </c>
      <c r="AC13" s="61">
        <f>G13-'2. Overall cum progress Sept14'!G13</f>
        <v>17298</v>
      </c>
      <c r="AD13" s="61">
        <f>H13-'2. Overall cum progress Sept14'!H13</f>
        <v>10396</v>
      </c>
      <c r="AE13" s="61">
        <f>I13-'2. Overall cum progress Sept14'!I13</f>
        <v>0</v>
      </c>
      <c r="AF13" s="61">
        <f>J13-'2. Overall cum progress Sept14'!J13</f>
        <v>0</v>
      </c>
      <c r="AG13" s="61">
        <f>K13-'2. Overall cum progress Sept14'!K13</f>
        <v>4760</v>
      </c>
      <c r="AH13" s="61">
        <f>L13-'2. Overall cum progress Sept14'!L13</f>
        <v>2365</v>
      </c>
      <c r="AI13" s="61">
        <f>M13-'2. Overall cum progress Sept14'!M13</f>
        <v>44672</v>
      </c>
    </row>
    <row r="14" spans="1:35" s="56" customFormat="1">
      <c r="A14" s="372"/>
      <c r="B14" s="99" t="s">
        <v>16</v>
      </c>
      <c r="C14" s="140">
        <v>102320</v>
      </c>
      <c r="D14" s="140">
        <f t="shared" ref="D14:M14" si="3">SUM(D12:D13)</f>
        <v>205964</v>
      </c>
      <c r="E14" s="203">
        <f t="shared" si="3"/>
        <v>205990</v>
      </c>
      <c r="F14" s="140">
        <f t="shared" si="3"/>
        <v>55533</v>
      </c>
      <c r="G14" s="338">
        <f t="shared" si="3"/>
        <v>2544180</v>
      </c>
      <c r="H14" s="140">
        <f t="shared" si="3"/>
        <v>1317688</v>
      </c>
      <c r="I14" s="140">
        <f t="shared" si="3"/>
        <v>22193</v>
      </c>
      <c r="J14" s="140">
        <f t="shared" si="3"/>
        <v>594699</v>
      </c>
      <c r="K14" s="203">
        <f>SUM(K12:K13)</f>
        <v>799589</v>
      </c>
      <c r="L14" s="140">
        <f t="shared" si="3"/>
        <v>322821</v>
      </c>
      <c r="M14" s="140">
        <f t="shared" si="3"/>
        <v>6170977</v>
      </c>
      <c r="N14" s="75">
        <f>M14/1000000</f>
        <v>6.1709769999999997</v>
      </c>
      <c r="O14" s="61">
        <f>L14-314221</f>
        <v>8600</v>
      </c>
      <c r="R14" s="56">
        <v>33066</v>
      </c>
      <c r="U14" s="56">
        <f>E12/E8</f>
        <v>16.607239330091843</v>
      </c>
      <c r="Y14" s="61">
        <f>C14-'2. Overall cum progress Sept14'!C14</f>
        <v>0</v>
      </c>
      <c r="Z14" s="61">
        <f>D14-'2. Overall cum progress Sept14'!D14</f>
        <v>0</v>
      </c>
      <c r="AA14" s="61">
        <f>E14-'2. Overall cum progress Sept14'!E14</f>
        <v>7563</v>
      </c>
      <c r="AB14" s="61">
        <f>F14-'2. Overall cum progress Sept14'!F14</f>
        <v>239</v>
      </c>
      <c r="AC14" s="61">
        <f>G14-'2. Overall cum progress Sept14'!G14</f>
        <v>38310</v>
      </c>
      <c r="AD14" s="61">
        <f>H14-'2. Overall cum progress Sept14'!H14</f>
        <v>20429</v>
      </c>
      <c r="AE14" s="61">
        <f>I14-'2. Overall cum progress Sept14'!I14</f>
        <v>0</v>
      </c>
      <c r="AF14" s="61">
        <f>J14-'2. Overall cum progress Sept14'!J14</f>
        <v>1465</v>
      </c>
      <c r="AG14" s="61">
        <f>K14-'2. Overall cum progress Sept14'!K14</f>
        <v>9314</v>
      </c>
      <c r="AH14" s="61">
        <f>L14-'2. Overall cum progress Sept14'!L14</f>
        <v>2365</v>
      </c>
      <c r="AI14" s="61">
        <f>M14-'2. Overall cum progress Sept14'!M14</f>
        <v>79685</v>
      </c>
    </row>
    <row r="15" spans="1:35" s="60" customFormat="1">
      <c r="A15" s="373" t="s">
        <v>223</v>
      </c>
      <c r="B15" s="100" t="s">
        <v>17</v>
      </c>
      <c r="C15" s="148">
        <v>24.064</v>
      </c>
      <c r="D15" s="148">
        <f>'[10]2. Overall cum progress Dec)'!D15</f>
        <v>129.43899999999999</v>
      </c>
      <c r="E15" s="148">
        <f>'[5]2. Overall cum progress Dec)'!E15</f>
        <v>5.45</v>
      </c>
      <c r="F15" s="148">
        <f>'[2]2. Overall cum progress Dec)'!F15</f>
        <v>5.0999999999999996</v>
      </c>
      <c r="G15" s="148">
        <f>'[3]2. Overall cum progress Dec)'!G15</f>
        <v>236.317701</v>
      </c>
      <c r="H15" s="139">
        <f>'[14]2. Overall cum progress Dec)'!H15</f>
        <v>81.78</v>
      </c>
      <c r="I15" s="310" t="str">
        <f>'[16]2. Overall cum progress Dec)'!I15</f>
        <v>-</v>
      </c>
      <c r="J15" s="148">
        <f>'[13]2. Overall cum progress Dec)'!J15</f>
        <v>110</v>
      </c>
      <c r="K15" s="148">
        <f>'[7]2. Overall cum progress Dec)'!K15</f>
        <v>40.700000000000003</v>
      </c>
      <c r="L15" s="148">
        <f>'[11]2. Overall cum progress Dec)'!L15</f>
        <v>85.09</v>
      </c>
      <c r="M15" s="139">
        <f>SUM(C15:L15)</f>
        <v>717.94070099999999</v>
      </c>
      <c r="N15" s="74"/>
      <c r="O15" s="61"/>
      <c r="P15" s="60">
        <v>742335</v>
      </c>
      <c r="R15" s="56">
        <v>16569</v>
      </c>
      <c r="U15" s="60">
        <f>E13/E9</f>
        <v>16.834808946877914</v>
      </c>
      <c r="Y15" s="61">
        <f>C15-'2. Overall cum progress Sept14'!C15</f>
        <v>0</v>
      </c>
      <c r="Z15" s="61">
        <f>D15-'2. Overall cum progress Sept14'!D15</f>
        <v>0</v>
      </c>
      <c r="AA15" s="61">
        <f>E15-'2. Overall cum progress Sept14'!E15</f>
        <v>0</v>
      </c>
      <c r="AB15" s="61">
        <f>F15-'2. Overall cum progress Sept14'!F15</f>
        <v>0.79999999999999982</v>
      </c>
      <c r="AC15" s="61">
        <f>G15-'2. Overall cum progress Sept14'!G15</f>
        <v>5.0523092499999791</v>
      </c>
      <c r="AD15" s="61">
        <f>H15-'2. Overall cum progress Sept14'!H15</f>
        <v>0.2289999999999992</v>
      </c>
      <c r="AE15" s="61" t="e">
        <f>I15-'2. Overall cum progress Sept14'!I15</f>
        <v>#VALUE!</v>
      </c>
      <c r="AF15" s="61">
        <f>J15-'2. Overall cum progress Sept14'!J15</f>
        <v>0</v>
      </c>
      <c r="AG15" s="61">
        <f>K15-'2. Overall cum progress Sept14'!K15</f>
        <v>0.52400000000000091</v>
      </c>
      <c r="AH15" s="61">
        <f>L15-'2. Overall cum progress Sept14'!L15</f>
        <v>2.3697899999999947</v>
      </c>
      <c r="AI15" s="61">
        <f>M15-'2. Overall cum progress Sept14'!M15</f>
        <v>8.9750992499998574</v>
      </c>
    </row>
    <row r="16" spans="1:35" s="60" customFormat="1">
      <c r="A16" s="373"/>
      <c r="B16" s="94" t="s">
        <v>18</v>
      </c>
      <c r="C16" s="148">
        <v>11.851000000000001</v>
      </c>
      <c r="D16" s="148">
        <f>'[10]2. Overall cum progress Dec)'!D16</f>
        <v>371.08199999999999</v>
      </c>
      <c r="E16" s="148">
        <f>'[5]2. Overall cum progress Dec)'!E16</f>
        <v>8.7799999999999994</v>
      </c>
      <c r="F16" s="148">
        <f>'[2]2. Overall cum progress Dec)'!F16</f>
        <v>4.3</v>
      </c>
      <c r="G16" s="148">
        <f>'[3]2. Overall cum progress Dec)'!G16</f>
        <v>1258.593597</v>
      </c>
      <c r="H16" s="139">
        <f>'[14]2. Overall cum progress Dec)'!H16</f>
        <v>80.819999999999993</v>
      </c>
      <c r="I16" s="310">
        <f>'[16]2. Overall cum progress Dec)'!I16</f>
        <v>1</v>
      </c>
      <c r="J16" s="148">
        <f>'[13]2. Overall cum progress Dec)'!J16</f>
        <v>7</v>
      </c>
      <c r="K16" s="148">
        <f>'[7]2. Overall cum progress Dec)'!K16</f>
        <v>103.9</v>
      </c>
      <c r="L16" s="148">
        <f>'[11]2. Overall cum progress Dec)'!L16</f>
        <v>123.19</v>
      </c>
      <c r="M16" s="139">
        <f>SUM(C16:L16)</f>
        <v>1970.516597</v>
      </c>
      <c r="N16" s="74"/>
      <c r="O16" s="61"/>
      <c r="P16" s="60">
        <f>P15/1000000</f>
        <v>0.74233499999999997</v>
      </c>
      <c r="R16" s="56">
        <v>359085</v>
      </c>
      <c r="Y16" s="61">
        <f>C16-'2. Overall cum progress Sept14'!C16</f>
        <v>0</v>
      </c>
      <c r="Z16" s="61">
        <f>D16-'2. Overall cum progress Sept14'!D16</f>
        <v>0</v>
      </c>
      <c r="AA16" s="61">
        <f>E16-'2. Overall cum progress Sept14'!E16</f>
        <v>0</v>
      </c>
      <c r="AB16" s="61">
        <f>F16-'2. Overall cum progress Sept14'!F16</f>
        <v>-0.79999999999999982</v>
      </c>
      <c r="AC16" s="61">
        <f>G16-'2. Overall cum progress Sept14'!G16</f>
        <v>16.404647750000095</v>
      </c>
      <c r="AD16" s="61">
        <f>H16-'2. Overall cum progress Sept14'!H16</f>
        <v>-0.18300000000000693</v>
      </c>
      <c r="AE16" s="61">
        <f>I16-'2. Overall cum progress Sept14'!I16</f>
        <v>0</v>
      </c>
      <c r="AF16" s="61">
        <f>J16-'2. Overall cum progress Sept14'!J16</f>
        <v>0</v>
      </c>
      <c r="AG16" s="61">
        <f>K16-'2. Overall cum progress Sept14'!K16</f>
        <v>0.20800000000001262</v>
      </c>
      <c r="AH16" s="61">
        <f>L16-'2. Overall cum progress Sept14'!L16</f>
        <v>2.3642250000000047</v>
      </c>
      <c r="AI16" s="61">
        <f>M16-'2. Overall cum progress Sept14'!M16</f>
        <v>17.993872750000037</v>
      </c>
    </row>
    <row r="17" spans="1:35" s="60" customFormat="1">
      <c r="A17" s="373"/>
      <c r="B17" s="99" t="s">
        <v>16</v>
      </c>
      <c r="C17" s="140">
        <v>35.914999999999999</v>
      </c>
      <c r="D17" s="140">
        <f t="shared" ref="D17:M17" si="4">SUM(D15:D16)</f>
        <v>500.52099999999996</v>
      </c>
      <c r="E17" s="140">
        <f t="shared" si="4"/>
        <v>14.23</v>
      </c>
      <c r="F17" s="140">
        <f t="shared" si="4"/>
        <v>9.3999999999999986</v>
      </c>
      <c r="G17" s="140">
        <f t="shared" si="4"/>
        <v>1494.911298</v>
      </c>
      <c r="H17" s="140">
        <f t="shared" si="4"/>
        <v>162.6</v>
      </c>
      <c r="I17" s="140">
        <f t="shared" si="4"/>
        <v>1</v>
      </c>
      <c r="J17" s="140">
        <f t="shared" si="4"/>
        <v>117</v>
      </c>
      <c r="K17" s="339">
        <f>SUM(K15:K16)</f>
        <v>144.60000000000002</v>
      </c>
      <c r="L17" s="147">
        <f t="shared" ref="L17" si="5">SUM(L15:L16)</f>
        <v>208.28</v>
      </c>
      <c r="M17" s="140">
        <f t="shared" si="4"/>
        <v>2688.4572980000003</v>
      </c>
      <c r="N17" s="74"/>
      <c r="O17" s="61"/>
      <c r="R17" s="56"/>
      <c r="Y17" s="61">
        <f>C17-'2. Overall cum progress Sept14'!C17</f>
        <v>0</v>
      </c>
      <c r="Z17" s="61">
        <f>D17-'2. Overall cum progress Sept14'!D17</f>
        <v>0</v>
      </c>
      <c r="AA17" s="61">
        <f>E17-'2. Overall cum progress Sept14'!E17</f>
        <v>0</v>
      </c>
      <c r="AB17" s="61">
        <f>F17-'2. Overall cum progress Sept14'!F17</f>
        <v>0</v>
      </c>
      <c r="AC17" s="61">
        <f>G17-'2. Overall cum progress Sept14'!G17</f>
        <v>21.456957000000102</v>
      </c>
      <c r="AD17" s="61">
        <f>H17-'2. Overall cum progress Sept14'!H17</f>
        <v>4.5999999999992269E-2</v>
      </c>
      <c r="AE17" s="61">
        <f>I17-'2. Overall cum progress Sept14'!I17</f>
        <v>0</v>
      </c>
      <c r="AF17" s="61">
        <f>J17-'2. Overall cum progress Sept14'!J17</f>
        <v>0</v>
      </c>
      <c r="AG17" s="61">
        <f>K17-'2. Overall cum progress Sept14'!K17</f>
        <v>0.73200000000002774</v>
      </c>
      <c r="AH17" s="61">
        <f>L17-'2. Overall cum progress Sept14'!L17</f>
        <v>4.7340149999999994</v>
      </c>
      <c r="AI17" s="61">
        <f>M17-'2. Overall cum progress Sept14'!M17</f>
        <v>26.968972000000122</v>
      </c>
    </row>
    <row r="18" spans="1:35" s="56" customFormat="1">
      <c r="A18" s="367" t="s">
        <v>19</v>
      </c>
      <c r="B18" s="96" t="s">
        <v>17</v>
      </c>
      <c r="C18" s="148">
        <v>10954</v>
      </c>
      <c r="D18" s="148">
        <f>'[10]2. Overall cum progress Dec)'!D18</f>
        <v>58754</v>
      </c>
      <c r="E18" s="148">
        <f>'[5]2. Overall cum progress Dec)'!E18</f>
        <v>51850</v>
      </c>
      <c r="F18" s="148">
        <f>'[2]2. Overall cum progress Dec)'!F18</f>
        <v>12958</v>
      </c>
      <c r="G18" s="148">
        <f>'[3]2. Overall cum progress Dec)'!G18</f>
        <v>1484076</v>
      </c>
      <c r="H18" s="139">
        <f>'[14]2. Overall cum progress Dec)'!H18</f>
        <v>150814</v>
      </c>
      <c r="I18" s="310">
        <f>'[16]2. Overall cum progress Dec)'!I18</f>
        <v>4830</v>
      </c>
      <c r="J18" s="148">
        <f>'[13]2. Overall cum progress Dec)'!J18</f>
        <v>234846</v>
      </c>
      <c r="K18" s="148">
        <f>'[7]2. Overall cum progress Dec)'!K18</f>
        <v>77577</v>
      </c>
      <c r="L18" s="148">
        <f>'[11]2. Overall cum progress Dec)'!L18</f>
        <v>106624</v>
      </c>
      <c r="M18" s="139">
        <f>SUM(C18:L18)</f>
        <v>2193283</v>
      </c>
      <c r="N18" s="60">
        <f>M18/1000000</f>
        <v>2.1932830000000001</v>
      </c>
      <c r="O18" s="60">
        <f>M18/M20%</f>
        <v>52.325837445339914</v>
      </c>
      <c r="Y18" s="61">
        <f>C18-'2. Overall cum progress Sept14'!C18</f>
        <v>0</v>
      </c>
      <c r="Z18" s="61">
        <f>D18-'2. Overall cum progress Sept14'!D18</f>
        <v>0</v>
      </c>
      <c r="AA18" s="61">
        <f>E18-'2. Overall cum progress Sept14'!E18</f>
        <v>814</v>
      </c>
      <c r="AB18" s="61">
        <f>F18-'2. Overall cum progress Sept14'!F18</f>
        <v>234</v>
      </c>
      <c r="AC18" s="61">
        <f>G18-'2. Overall cum progress Sept14'!G18</f>
        <v>66656</v>
      </c>
      <c r="AD18" s="61">
        <f>H18-'2. Overall cum progress Sept14'!H18</f>
        <v>2580</v>
      </c>
      <c r="AE18" s="61">
        <f>I18-'2. Overall cum progress Sept14'!I18</f>
        <v>0</v>
      </c>
      <c r="AF18" s="61">
        <f>J18-'2. Overall cum progress Sept14'!J18</f>
        <v>1760</v>
      </c>
      <c r="AG18" s="61">
        <f>K18-'2. Overall cum progress Sept14'!K18</f>
        <v>1417</v>
      </c>
      <c r="AH18" s="61">
        <f>L18-'2. Overall cum progress Sept14'!L18</f>
        <v>2823</v>
      </c>
      <c r="AI18" s="61">
        <f>M18-'2. Overall cum progress Sept14'!M18</f>
        <v>76284</v>
      </c>
    </row>
    <row r="19" spans="1:35" s="56" customFormat="1">
      <c r="A19" s="367"/>
      <c r="B19" s="97" t="s">
        <v>18</v>
      </c>
      <c r="C19" s="148">
        <v>6385</v>
      </c>
      <c r="D19" s="148">
        <f>'[10]2. Overall cum progress Dec)'!D19</f>
        <v>27804</v>
      </c>
      <c r="E19" s="148">
        <f>'[5]2. Overall cum progress Dec)'!E19</f>
        <v>120723</v>
      </c>
      <c r="F19" s="148">
        <f>'[2]2. Overall cum progress Dec)'!F19</f>
        <v>4730</v>
      </c>
      <c r="G19" s="148">
        <f>'[3]2. Overall cum progress Dec)'!G19</f>
        <v>1278789</v>
      </c>
      <c r="H19" s="139">
        <f>'[14]2. Overall cum progress Dec)'!H19</f>
        <v>337444</v>
      </c>
      <c r="I19" s="310">
        <f>'[16]2. Overall cum progress Dec)'!I19</f>
        <v>4830</v>
      </c>
      <c r="J19" s="148">
        <f>'[13]2. Overall cum progress Dec)'!J19</f>
        <v>13766</v>
      </c>
      <c r="K19" s="148">
        <f>'[7]2. Overall cum progress Dec)'!K19</f>
        <v>106158</v>
      </c>
      <c r="L19" s="148">
        <f>'[11]2. Overall cum progress Dec)'!L19</f>
        <v>97675</v>
      </c>
      <c r="M19" s="139">
        <f>SUM(C19:L19)</f>
        <v>1998304</v>
      </c>
      <c r="N19" s="74"/>
      <c r="O19" s="61"/>
      <c r="Y19" s="61">
        <f>C19-'2. Overall cum progress Sept14'!C19</f>
        <v>0</v>
      </c>
      <c r="Z19" s="61">
        <f>D19-'2. Overall cum progress Sept14'!D19</f>
        <v>0</v>
      </c>
      <c r="AA19" s="61">
        <f>E19-'2. Overall cum progress Sept14'!E19</f>
        <v>2976</v>
      </c>
      <c r="AB19" s="61">
        <f>F19-'2. Overall cum progress Sept14'!F19</f>
        <v>89</v>
      </c>
      <c r="AC19" s="61">
        <f>G19-'2. Overall cum progress Sept14'!G19</f>
        <v>107379</v>
      </c>
      <c r="AD19" s="61">
        <f>H19-'2. Overall cum progress Sept14'!H19</f>
        <v>4033</v>
      </c>
      <c r="AE19" s="61">
        <f>I19-'2. Overall cum progress Sept14'!I19</f>
        <v>5</v>
      </c>
      <c r="AF19" s="61">
        <f>J19-'2. Overall cum progress Sept14'!J19</f>
        <v>134</v>
      </c>
      <c r="AG19" s="61">
        <f>K19-'2. Overall cum progress Sept14'!K19</f>
        <v>4343</v>
      </c>
      <c r="AH19" s="61">
        <f>L19-'2. Overall cum progress Sept14'!L19</f>
        <v>1347</v>
      </c>
      <c r="AI19" s="61">
        <f>M19-'2. Overall cum progress Sept14'!M19</f>
        <v>120306</v>
      </c>
    </row>
    <row r="20" spans="1:35" s="56" customFormat="1">
      <c r="A20" s="367"/>
      <c r="B20" s="98" t="s">
        <v>16</v>
      </c>
      <c r="C20" s="140">
        <v>17339</v>
      </c>
      <c r="D20" s="140">
        <f t="shared" ref="D20:M20" si="6">SUM(D18:D19)</f>
        <v>86558</v>
      </c>
      <c r="E20" s="140">
        <f t="shared" si="6"/>
        <v>172573</v>
      </c>
      <c r="F20" s="140">
        <f t="shared" si="6"/>
        <v>17688</v>
      </c>
      <c r="G20" s="140">
        <f t="shared" si="6"/>
        <v>2762865</v>
      </c>
      <c r="H20" s="140">
        <f t="shared" si="6"/>
        <v>488258</v>
      </c>
      <c r="I20" s="140">
        <f t="shared" si="6"/>
        <v>9660</v>
      </c>
      <c r="J20" s="140">
        <f t="shared" si="6"/>
        <v>248612</v>
      </c>
      <c r="K20" s="140">
        <f t="shared" si="6"/>
        <v>183735</v>
      </c>
      <c r="L20" s="140">
        <f t="shared" si="6"/>
        <v>204299</v>
      </c>
      <c r="M20" s="140">
        <f t="shared" si="6"/>
        <v>4191587</v>
      </c>
      <c r="N20" s="60">
        <f>M20/1000000</f>
        <v>4.1915870000000002</v>
      </c>
      <c r="O20" s="61"/>
      <c r="Y20" s="61">
        <f>C20-'2. Overall cum progress Sept14'!C20</f>
        <v>0</v>
      </c>
      <c r="Z20" s="61">
        <f>D20-'2. Overall cum progress Sept14'!D20</f>
        <v>0</v>
      </c>
      <c r="AA20" s="61">
        <f>E20-'2. Overall cum progress Sept14'!E20</f>
        <v>3790</v>
      </c>
      <c r="AB20" s="61">
        <f>F20-'2. Overall cum progress Sept14'!F20</f>
        <v>323</v>
      </c>
      <c r="AC20" s="61">
        <f>G20-'2. Overall cum progress Sept14'!G20</f>
        <v>174035</v>
      </c>
      <c r="AD20" s="61">
        <f>H20-'2. Overall cum progress Sept14'!H20</f>
        <v>6613</v>
      </c>
      <c r="AE20" s="61">
        <f>I20-'2. Overall cum progress Sept14'!I20</f>
        <v>5</v>
      </c>
      <c r="AF20" s="61">
        <f>J20-'2. Overall cum progress Sept14'!J20</f>
        <v>1894</v>
      </c>
      <c r="AG20" s="61">
        <f>K20-'2. Overall cum progress Sept14'!K20</f>
        <v>5760</v>
      </c>
      <c r="AH20" s="61">
        <f>L20-'2. Overall cum progress Sept14'!L20</f>
        <v>4170</v>
      </c>
      <c r="AI20" s="61">
        <f>M20-'2. Overall cum progress Sept14'!M20</f>
        <v>196590</v>
      </c>
    </row>
    <row r="21" spans="1:35" s="56" customFormat="1">
      <c r="A21" s="374" t="s">
        <v>205</v>
      </c>
      <c r="B21" s="97" t="s">
        <v>295</v>
      </c>
      <c r="C21" s="148">
        <v>6</v>
      </c>
      <c r="D21" s="148">
        <f>'[10]2. Overall cum progress Dec)'!D21</f>
        <v>12</v>
      </c>
      <c r="E21" s="148">
        <f>'[5]2. Overall cum progress Dec)'!E21</f>
        <v>2</v>
      </c>
      <c r="F21" s="148">
        <f>'[2]2. Overall cum progress Dec)'!F21</f>
        <v>2</v>
      </c>
      <c r="G21" s="148">
        <f>'[3]2. Overall cum progress Dec)'!G21</f>
        <v>227</v>
      </c>
      <c r="H21" s="139">
        <f>'[14]2. Overall cum progress Dec)'!H21</f>
        <v>2</v>
      </c>
      <c r="I21" s="310" t="str">
        <f>'[16]2. Overall cum progress Dec)'!I21</f>
        <v>-</v>
      </c>
      <c r="J21" s="148">
        <f>'[13]2. Overall cum progress Dec)'!J21</f>
        <v>40</v>
      </c>
      <c r="K21" s="148">
        <f>'[7]2. Overall cum progress Dec)'!K21</f>
        <v>0</v>
      </c>
      <c r="L21" s="148">
        <f>'[11]2. Overall cum progress Dec)'!L21</f>
        <v>8</v>
      </c>
      <c r="M21" s="139">
        <f t="shared" ref="M21:M26" si="7">SUM(C21:L21)</f>
        <v>299</v>
      </c>
      <c r="N21" s="74"/>
      <c r="O21" s="61"/>
      <c r="Y21" s="61">
        <f>C21-'2. Overall cum progress Sept14'!C21</f>
        <v>0</v>
      </c>
      <c r="Z21" s="61">
        <f>D21-'2. Overall cum progress Sept14'!D21</f>
        <v>0</v>
      </c>
      <c r="AA21" s="61">
        <f>E21-'2. Overall cum progress Sept14'!E21</f>
        <v>0</v>
      </c>
      <c r="AB21" s="61">
        <f>F21-'2. Overall cum progress Sept14'!F21</f>
        <v>1</v>
      </c>
      <c r="AC21" s="61">
        <f>G21-'2. Overall cum progress Sept14'!G21</f>
        <v>-19</v>
      </c>
      <c r="AD21" s="61">
        <f>H21-'2. Overall cum progress Sept14'!H21</f>
        <v>0</v>
      </c>
      <c r="AE21" s="61" t="e">
        <f>I21-'2. Overall cum progress Sept14'!I21</f>
        <v>#VALUE!</v>
      </c>
      <c r="AF21" s="61">
        <f>J21-'2. Overall cum progress Sept14'!J21</f>
        <v>0</v>
      </c>
      <c r="AG21" s="61">
        <f>K21-'2. Overall cum progress Sept14'!K21</f>
        <v>0</v>
      </c>
      <c r="AH21" s="61">
        <f>L21-'2. Overall cum progress Sept14'!L21</f>
        <v>0</v>
      </c>
      <c r="AI21" s="61">
        <f>M21-'2. Overall cum progress Sept14'!M21</f>
        <v>-18</v>
      </c>
    </row>
    <row r="22" spans="1:35" s="56" customFormat="1">
      <c r="A22" s="375"/>
      <c r="B22" s="97" t="s">
        <v>296</v>
      </c>
      <c r="C22" s="148">
        <v>0</v>
      </c>
      <c r="D22" s="148">
        <f>'[10]2. Overall cum progress Dec)'!D22</f>
        <v>0</v>
      </c>
      <c r="E22" s="148">
        <f>'[5]2. Overall cum progress Dec)'!E22</f>
        <v>0</v>
      </c>
      <c r="F22" s="148">
        <f>'[2]2. Overall cum progress Dec)'!F22</f>
        <v>9</v>
      </c>
      <c r="G22" s="148">
        <f>'[3]2. Overall cum progress Dec)'!G22</f>
        <v>81</v>
      </c>
      <c r="H22" s="139">
        <f>'[14]2. Overall cum progress Dec)'!H22</f>
        <v>34</v>
      </c>
      <c r="I22" s="310" t="str">
        <f>'[16]2. Overall cum progress Dec)'!I22</f>
        <v>-</v>
      </c>
      <c r="J22" s="148">
        <f>'[13]2. Overall cum progress Dec)'!J22</f>
        <v>3715</v>
      </c>
      <c r="K22" s="148">
        <f>'[7]2. Overall cum progress Dec)'!K22</f>
        <v>320</v>
      </c>
      <c r="L22" s="148">
        <f>'[11]2. Overall cum progress Dec)'!L22</f>
        <v>1307</v>
      </c>
      <c r="M22" s="139">
        <f t="shared" si="7"/>
        <v>5466</v>
      </c>
      <c r="N22" s="74"/>
      <c r="O22" s="61"/>
      <c r="Y22" s="61">
        <f>C22-'2. Overall cum progress Sept14'!C22</f>
        <v>0</v>
      </c>
      <c r="Z22" s="61">
        <f>D22-'2. Overall cum progress Sept14'!D22</f>
        <v>0</v>
      </c>
      <c r="AA22" s="61">
        <f>E22-'2. Overall cum progress Sept14'!E22</f>
        <v>0</v>
      </c>
      <c r="AB22" s="61">
        <f>F22-'2. Overall cum progress Sept14'!F22</f>
        <v>-1</v>
      </c>
      <c r="AC22" s="61">
        <f>G22-'2. Overall cum progress Sept14'!G22</f>
        <v>7</v>
      </c>
      <c r="AD22" s="61">
        <f>H22-'2. Overall cum progress Sept14'!H22</f>
        <v>1</v>
      </c>
      <c r="AE22" s="61" t="e">
        <f>I22-'2. Overall cum progress Sept14'!I22</f>
        <v>#VALUE!</v>
      </c>
      <c r="AF22" s="61">
        <f>J22-'2. Overall cum progress Sept14'!J22</f>
        <v>0</v>
      </c>
      <c r="AG22" s="61">
        <f>K22-'2. Overall cum progress Sept14'!K22</f>
        <v>-6</v>
      </c>
      <c r="AH22" s="61">
        <f>L22-'2. Overall cum progress Sept14'!L22</f>
        <v>0</v>
      </c>
      <c r="AI22" s="61">
        <f>M22-'2. Overall cum progress Sept14'!M22</f>
        <v>1</v>
      </c>
    </row>
    <row r="23" spans="1:35" s="56" customFormat="1">
      <c r="A23" s="375"/>
      <c r="B23" s="97" t="s">
        <v>297</v>
      </c>
      <c r="C23" s="148">
        <v>1094</v>
      </c>
      <c r="D23" s="148">
        <f>'[10]2. Overall cum progress Dec)'!D23</f>
        <v>2055</v>
      </c>
      <c r="E23" s="148">
        <f>'[5]2. Overall cum progress Dec)'!E23</f>
        <v>20</v>
      </c>
      <c r="F23" s="148">
        <f>'[2]2. Overall cum progress Dec)'!F23</f>
        <v>37</v>
      </c>
      <c r="G23" s="148">
        <f>'[3]2. Overall cum progress Dec)'!G23</f>
        <v>44913</v>
      </c>
      <c r="H23" s="139">
        <f>'[14]2. Overall cum progress Dec)'!H23</f>
        <v>3494</v>
      </c>
      <c r="I23" s="310" t="str">
        <f>'[16]2. Overall cum progress Dec)'!I23</f>
        <v>-</v>
      </c>
      <c r="J23" s="148">
        <f>'[13]2. Overall cum progress Dec)'!J23</f>
        <v>101383</v>
      </c>
      <c r="K23" s="148">
        <f>'[7]2. Overall cum progress Dec)'!K23</f>
        <v>39454</v>
      </c>
      <c r="L23" s="148">
        <f>'[11]2. Overall cum progress Dec)'!L23</f>
        <v>17239</v>
      </c>
      <c r="M23" s="139">
        <f t="shared" si="7"/>
        <v>209689</v>
      </c>
      <c r="N23" s="74"/>
      <c r="O23" s="61"/>
      <c r="Y23" s="61">
        <f>C23-'2. Overall cum progress Sept14'!C23</f>
        <v>0</v>
      </c>
      <c r="Z23" s="61">
        <f>D23-'2. Overall cum progress Sept14'!D23</f>
        <v>0</v>
      </c>
      <c r="AA23" s="61">
        <f>E23-'2. Overall cum progress Sept14'!E23</f>
        <v>0</v>
      </c>
      <c r="AB23" s="61">
        <f>F23-'2. Overall cum progress Sept14'!F23</f>
        <v>-5</v>
      </c>
      <c r="AC23" s="61">
        <f>G23-'2. Overall cum progress Sept14'!G23</f>
        <v>3194</v>
      </c>
      <c r="AD23" s="61">
        <f>H23-'2. Overall cum progress Sept14'!H23</f>
        <v>240</v>
      </c>
      <c r="AE23" s="61" t="e">
        <f>I23-'2. Overall cum progress Sept14'!I23</f>
        <v>#VALUE!</v>
      </c>
      <c r="AF23" s="61">
        <f>J23-'2. Overall cum progress Sept14'!J23</f>
        <v>0</v>
      </c>
      <c r="AG23" s="61">
        <f>K23-'2. Overall cum progress Sept14'!K23</f>
        <v>2472</v>
      </c>
      <c r="AH23" s="61">
        <f>L23-'2. Overall cum progress Sept14'!L23</f>
        <v>0</v>
      </c>
      <c r="AI23" s="61">
        <f>M23-'2. Overall cum progress Sept14'!M23</f>
        <v>5901</v>
      </c>
    </row>
    <row r="24" spans="1:35" s="56" customFormat="1" ht="25.5">
      <c r="A24" s="376"/>
      <c r="B24" s="97" t="s">
        <v>206</v>
      </c>
      <c r="C24" s="148">
        <v>16</v>
      </c>
      <c r="D24" s="148">
        <f>'[10]2. Overall cum progress Dec)'!D24</f>
        <v>16.106083000000002</v>
      </c>
      <c r="E24" s="148">
        <f>'[5]2. Overall cum progress Dec)'!E24</f>
        <v>1</v>
      </c>
      <c r="F24" s="148">
        <f>'[2]2. Overall cum progress Dec)'!F24</f>
        <v>1</v>
      </c>
      <c r="G24" s="148">
        <f>'[3]2. Overall cum progress Dec)'!G24</f>
        <v>635.47159299999998</v>
      </c>
      <c r="H24" s="139">
        <v>45.66</v>
      </c>
      <c r="I24" s="310" t="str">
        <f>'[16]2. Overall cum progress Dec)'!I24</f>
        <v>-</v>
      </c>
      <c r="J24" s="148">
        <f>'[13]2. Overall cum progress Dec)'!J24</f>
        <v>1059</v>
      </c>
      <c r="K24" s="148">
        <f>'[7]2. Overall cum progress Dec)'!K24</f>
        <v>429</v>
      </c>
      <c r="L24" s="148">
        <f>'[11]2. Overall cum progress Dec)'!L24</f>
        <v>230.023</v>
      </c>
      <c r="M24" s="139">
        <f t="shared" si="7"/>
        <v>2433.2606759999999</v>
      </c>
      <c r="N24" s="75">
        <f>M24/90</f>
        <v>27.036229733333332</v>
      </c>
      <c r="O24" s="103">
        <f>M24/85</f>
        <v>28.626596188235293</v>
      </c>
      <c r="Y24" s="61">
        <f>C24-'2. Overall cum progress Sept14'!C24</f>
        <v>0</v>
      </c>
      <c r="Z24" s="61">
        <f>D24-'2. Overall cum progress Sept14'!D24</f>
        <v>0</v>
      </c>
      <c r="AA24" s="61">
        <f>E24-'2. Overall cum progress Sept14'!E24</f>
        <v>0</v>
      </c>
      <c r="AB24" s="61">
        <f>F24-'2. Overall cum progress Sept14'!F24</f>
        <v>0.4</v>
      </c>
      <c r="AC24" s="61">
        <f>G24-'2. Overall cum progress Sept14'!G24</f>
        <v>53.471592999999984</v>
      </c>
      <c r="AD24" s="61">
        <f>H24-'2. Overall cum progress Sept14'!H24</f>
        <v>4.789999999999992</v>
      </c>
      <c r="AE24" s="61" t="e">
        <f>I24-'2. Overall cum progress Sept14'!I24</f>
        <v>#VALUE!</v>
      </c>
      <c r="AF24" s="61">
        <f>J24-'2. Overall cum progress Sept14'!J24</f>
        <v>0</v>
      </c>
      <c r="AG24" s="61">
        <f>K24-'2. Overall cum progress Sept14'!K24</f>
        <v>27</v>
      </c>
      <c r="AH24" s="61">
        <f>L24-'2. Overall cum progress Sept14'!L24</f>
        <v>0</v>
      </c>
      <c r="AI24" s="61">
        <f>M24-'2. Overall cum progress Sept14'!M24</f>
        <v>85.661592999999812</v>
      </c>
    </row>
    <row r="25" spans="1:35" s="60" customFormat="1">
      <c r="A25" s="377" t="s">
        <v>20</v>
      </c>
      <c r="B25" s="100" t="s">
        <v>17</v>
      </c>
      <c r="C25" s="148">
        <v>79.263000000000005</v>
      </c>
      <c r="D25" s="148">
        <f>'[10]2. Overall cum progress Dec)'!D25</f>
        <v>195</v>
      </c>
      <c r="E25" s="148">
        <f>'[5]2. Overall cum progress Dec)'!E25</f>
        <v>9</v>
      </c>
      <c r="F25" s="148">
        <f>'[2]2. Overall cum progress Dec)'!F25</f>
        <v>507</v>
      </c>
      <c r="G25" s="148">
        <f>'[3]2. Overall cum progress Dec)'!G25</f>
        <v>43355.504209999999</v>
      </c>
      <c r="H25" s="139">
        <f>'[14]2. Overall cum progress Dec)'!H25</f>
        <v>5280.33</v>
      </c>
      <c r="I25" s="310" t="str">
        <f>'[16]2. Overall cum progress Dec)'!I25</f>
        <v>-</v>
      </c>
      <c r="J25" s="148">
        <f>'[13]2. Overall cum progress Dec)'!J25</f>
        <v>5374</v>
      </c>
      <c r="K25" s="148">
        <f>'[7]2. Overall cum progress Dec)'!K25</f>
        <v>412</v>
      </c>
      <c r="L25" s="148">
        <f>'[11]2. Overall cum progress Dec)'!L25</f>
        <v>4055.0480000000002</v>
      </c>
      <c r="M25" s="139">
        <f t="shared" si="7"/>
        <v>59267.145210000002</v>
      </c>
      <c r="N25" s="102">
        <f>M25/1000</f>
        <v>59.267145210000002</v>
      </c>
      <c r="O25" s="103">
        <f>M25/85</f>
        <v>697.26053188235301</v>
      </c>
      <c r="R25" s="56"/>
      <c r="Y25" s="61">
        <f>C25-'2. Overall cum progress Sept14'!C25</f>
        <v>0</v>
      </c>
      <c r="Z25" s="61">
        <f>D25-'2. Overall cum progress Sept14'!D25</f>
        <v>0</v>
      </c>
      <c r="AA25" s="61">
        <f>E25-'2. Overall cum progress Sept14'!E25</f>
        <v>0</v>
      </c>
      <c r="AB25" s="61">
        <f>F25-'2. Overall cum progress Sept14'!F25</f>
        <v>37</v>
      </c>
      <c r="AC25" s="61">
        <f>G25-'2. Overall cum progress Sept14'!G25</f>
        <v>2944.5674999999974</v>
      </c>
      <c r="AD25" s="61">
        <f>H25-'2. Overall cum progress Sept14'!H25</f>
        <v>124.35000000000036</v>
      </c>
      <c r="AE25" s="61" t="e">
        <f>I25-'2. Overall cum progress Sept14'!I25</f>
        <v>#VALUE!</v>
      </c>
      <c r="AF25" s="61">
        <f>J25-'2. Overall cum progress Sept14'!J25</f>
        <v>181</v>
      </c>
      <c r="AG25" s="61">
        <f>K25-'2. Overall cum progress Sept14'!K25</f>
        <v>27</v>
      </c>
      <c r="AH25" s="61">
        <f>L25-'2. Overall cum progress Sept14'!L25</f>
        <v>278.14100000000008</v>
      </c>
      <c r="AI25" s="61">
        <f>M25-'2. Overall cum progress Sept14'!M25</f>
        <v>3592.0585000000065</v>
      </c>
    </row>
    <row r="26" spans="1:35" s="60" customFormat="1">
      <c r="A26" s="377"/>
      <c r="B26" s="94" t="s">
        <v>18</v>
      </c>
      <c r="C26" s="148">
        <v>58.572000000000003</v>
      </c>
      <c r="D26" s="148">
        <f>'[10]2. Overall cum progress Dec)'!D26</f>
        <v>833</v>
      </c>
      <c r="E26" s="148">
        <f>'[5]2. Overall cum progress Dec)'!E26</f>
        <v>16</v>
      </c>
      <c r="F26" s="148">
        <f>'[2]2. Overall cum progress Dec)'!F26</f>
        <v>94</v>
      </c>
      <c r="G26" s="148">
        <f>'[3]2. Overall cum progress Dec)'!G26</f>
        <v>48755.971702000003</v>
      </c>
      <c r="H26" s="139">
        <f>'[14]2. Overall cum progress Dec)'!H26</f>
        <v>7257.49</v>
      </c>
      <c r="I26" s="310" t="str">
        <f>'[16]2. Overall cum progress Dec)'!I26</f>
        <v>-</v>
      </c>
      <c r="J26" s="148">
        <f>'[13]2. Overall cum progress Dec)'!J26</f>
        <v>773</v>
      </c>
      <c r="K26" s="148">
        <f>'[7]2. Overall cum progress Dec)'!K26</f>
        <v>283</v>
      </c>
      <c r="L26" s="148">
        <f>'[11]2. Overall cum progress Dec)'!L26</f>
        <v>4321.9059999999999</v>
      </c>
      <c r="M26" s="139">
        <f t="shared" si="7"/>
        <v>62392.939702000003</v>
      </c>
      <c r="N26" s="74"/>
      <c r="O26" s="103"/>
      <c r="R26" s="56"/>
      <c r="Y26" s="61">
        <f>C26-'2. Overall cum progress Sept14'!C26</f>
        <v>0</v>
      </c>
      <c r="Z26" s="61">
        <f>D26-'2. Overall cum progress Sept14'!D26</f>
        <v>0</v>
      </c>
      <c r="AA26" s="61">
        <f>E26-'2. Overall cum progress Sept14'!E26</f>
        <v>0</v>
      </c>
      <c r="AB26" s="61">
        <f>F26-'2. Overall cum progress Sept14'!F26</f>
        <v>2</v>
      </c>
      <c r="AC26" s="61">
        <f>G26-'2. Overall cum progress Sept14'!G26</f>
        <v>1289.6165000000037</v>
      </c>
      <c r="AD26" s="61">
        <f>H26-'2. Overall cum progress Sept14'!H26</f>
        <v>451.02000000000044</v>
      </c>
      <c r="AE26" s="61" t="e">
        <f>I26-'2. Overall cum progress Sept14'!I26</f>
        <v>#VALUE!</v>
      </c>
      <c r="AF26" s="61">
        <f>J26-'2. Overall cum progress Sept14'!J26</f>
        <v>43</v>
      </c>
      <c r="AG26" s="61">
        <f>K26-'2. Overall cum progress Sept14'!K26</f>
        <v>1</v>
      </c>
      <c r="AH26" s="61">
        <f>L26-'2. Overall cum progress Sept14'!L26</f>
        <v>397.5630000000001</v>
      </c>
      <c r="AI26" s="61">
        <f>M26-'2. Overall cum progress Sept14'!M26</f>
        <v>2184.1995000000024</v>
      </c>
    </row>
    <row r="27" spans="1:35" s="60" customFormat="1">
      <c r="A27" s="377"/>
      <c r="B27" s="101" t="s">
        <v>16</v>
      </c>
      <c r="C27" s="140">
        <v>137.83500000000001</v>
      </c>
      <c r="D27" s="140">
        <f t="shared" ref="D27:M27" si="8">SUM(D25:D26)</f>
        <v>1028</v>
      </c>
      <c r="E27" s="140">
        <f t="shared" si="8"/>
        <v>25</v>
      </c>
      <c r="F27" s="140">
        <f t="shared" si="8"/>
        <v>601</v>
      </c>
      <c r="G27" s="203">
        <f t="shared" si="8"/>
        <v>92111.475911999994</v>
      </c>
      <c r="H27" s="140">
        <f t="shared" si="8"/>
        <v>12537.82</v>
      </c>
      <c r="I27" s="140">
        <f t="shared" si="8"/>
        <v>0</v>
      </c>
      <c r="J27" s="140">
        <f t="shared" si="8"/>
        <v>6147</v>
      </c>
      <c r="K27" s="140">
        <f>SUM(K25:K26)</f>
        <v>695</v>
      </c>
      <c r="L27" s="140">
        <f t="shared" ref="L27" si="9">SUM(L25:L26)</f>
        <v>8376.9539999999997</v>
      </c>
      <c r="M27" s="140">
        <f t="shared" si="8"/>
        <v>121660.08491200001</v>
      </c>
      <c r="N27" s="102">
        <f>M27/1000</f>
        <v>121.660084912</v>
      </c>
      <c r="O27" s="103">
        <f>M27/85</f>
        <v>1431.2951166117648</v>
      </c>
      <c r="R27" s="56"/>
      <c r="Y27" s="61">
        <f>C27-'2. Overall cum progress Sept14'!C27</f>
        <v>0</v>
      </c>
      <c r="Z27" s="61">
        <f>D27-'2. Overall cum progress Sept14'!D27</f>
        <v>0</v>
      </c>
      <c r="AA27" s="61">
        <f>E27-'2. Overall cum progress Sept14'!E27</f>
        <v>0</v>
      </c>
      <c r="AB27" s="61">
        <f>F27-'2. Overall cum progress Sept14'!F27</f>
        <v>39</v>
      </c>
      <c r="AC27" s="61">
        <f>G27-'2. Overall cum progress Sept14'!G27</f>
        <v>4234.1839999999938</v>
      </c>
      <c r="AD27" s="61">
        <f>H27-'2. Overall cum progress Sept14'!H27</f>
        <v>575.3700000000008</v>
      </c>
      <c r="AE27" s="61">
        <f>I27-'2. Overall cum progress Sept14'!I27</f>
        <v>0</v>
      </c>
      <c r="AF27" s="61">
        <f>J27-'2. Overall cum progress Sept14'!J27</f>
        <v>224</v>
      </c>
      <c r="AG27" s="61">
        <f>K27-'2. Overall cum progress Sept14'!K27</f>
        <v>28</v>
      </c>
      <c r="AH27" s="61">
        <f>L27-'2. Overall cum progress Sept14'!L27</f>
        <v>675.70399999999972</v>
      </c>
      <c r="AI27" s="61">
        <f>M27-'2. Overall cum progress Sept14'!M27</f>
        <v>5776.2580000000162</v>
      </c>
    </row>
    <row r="28" spans="1:35" s="56" customFormat="1">
      <c r="A28" s="367" t="s">
        <v>21</v>
      </c>
      <c r="B28" s="96" t="s">
        <v>17</v>
      </c>
      <c r="C28" s="148">
        <v>4764</v>
      </c>
      <c r="D28" s="148">
        <f>'[10]2. Overall cum progress Dec)'!D28</f>
        <v>74813</v>
      </c>
      <c r="E28" s="148">
        <f>'[5]2. Overall cum progress Dec)'!E28</f>
        <v>1156</v>
      </c>
      <c r="F28" s="148">
        <f>'[2]2. Overall cum progress Dec)'!F28</f>
        <v>32043</v>
      </c>
      <c r="G28" s="148">
        <f>'[3]2. Overall cum progress Dec)'!G28</f>
        <v>2594578</v>
      </c>
      <c r="H28" s="139">
        <f>'[14]2. Overall cum progress Dec)'!H28</f>
        <v>355155</v>
      </c>
      <c r="I28" s="310" t="str">
        <f>'[16]2. Overall cum progress Dec)'!I28</f>
        <v>-</v>
      </c>
      <c r="J28" s="148">
        <f>'[13]2. Overall cum progress Dec)'!J28</f>
        <v>318879</v>
      </c>
      <c r="K28" s="148">
        <f>'[7]2. Overall cum progress Dec)'!K28</f>
        <v>36630</v>
      </c>
      <c r="L28" s="148">
        <f>'[11]2. Overall cum progress Dec)'!L28</f>
        <v>292419</v>
      </c>
      <c r="M28" s="139">
        <f>SUM(C28:L28)</f>
        <v>3710437</v>
      </c>
      <c r="N28" s="102">
        <f>M28/1000000</f>
        <v>3.7104370000000002</v>
      </c>
      <c r="O28" s="61"/>
      <c r="P28" s="56">
        <f>M28/M30%</f>
        <v>47.544305497306759</v>
      </c>
      <c r="Y28" s="61">
        <f>C28-'2. Overall cum progress Sept14'!C28</f>
        <v>0</v>
      </c>
      <c r="Z28" s="61">
        <f>D28-'2. Overall cum progress Sept14'!D28</f>
        <v>0</v>
      </c>
      <c r="AA28" s="61">
        <f>E28-'2. Overall cum progress Sept14'!E28</f>
        <v>0</v>
      </c>
      <c r="AB28" s="61">
        <f>F28-'2. Overall cum progress Sept14'!F28</f>
        <v>1994</v>
      </c>
      <c r="AC28" s="61">
        <f>G28-'2. Overall cum progress Sept14'!G28</f>
        <v>119108</v>
      </c>
      <c r="AD28" s="61">
        <f>H28-'2. Overall cum progress Sept14'!H28</f>
        <v>5227</v>
      </c>
      <c r="AE28" s="61" t="e">
        <f>I28-'2. Overall cum progress Sept14'!I28</f>
        <v>#VALUE!</v>
      </c>
      <c r="AF28" s="61">
        <f>J28-'2. Overall cum progress Sept14'!J28</f>
        <v>271558</v>
      </c>
      <c r="AG28" s="61">
        <f>K28-'2. Overall cum progress Sept14'!K28</f>
        <v>3362</v>
      </c>
      <c r="AH28" s="61">
        <f>L28-'2. Overall cum progress Sept14'!L28</f>
        <v>15291</v>
      </c>
      <c r="AI28" s="61">
        <f>M28-'2. Overall cum progress Sept14'!M28</f>
        <v>416540</v>
      </c>
    </row>
    <row r="29" spans="1:35" s="56" customFormat="1">
      <c r="A29" s="367"/>
      <c r="B29" s="97" t="s">
        <v>18</v>
      </c>
      <c r="C29" s="148">
        <v>3217</v>
      </c>
      <c r="D29" s="148">
        <f>'[10]2. Overall cum progress Dec)'!D29</f>
        <v>546311</v>
      </c>
      <c r="E29" s="148">
        <f>'[5]2. Overall cum progress Dec)'!E29</f>
        <v>1600</v>
      </c>
      <c r="F29" s="148">
        <f>'[2]2. Overall cum progress Dec)'!F29</f>
        <v>6427</v>
      </c>
      <c r="G29" s="148">
        <f>'[3]2. Overall cum progress Dec)'!G29</f>
        <v>2732128</v>
      </c>
      <c r="H29" s="139">
        <f>'[14]2. Overall cum progress Dec)'!H29</f>
        <v>489695</v>
      </c>
      <c r="I29" s="310" t="str">
        <f>'[16]2. Overall cum progress Dec)'!I29</f>
        <v>-</v>
      </c>
      <c r="J29" s="148">
        <f>'[13]2. Overall cum progress Dec)'!J29</f>
        <v>48922</v>
      </c>
      <c r="K29" s="148">
        <f>'[7]2. Overall cum progress Dec)'!K29</f>
        <v>25731</v>
      </c>
      <c r="L29" s="148">
        <f>'[11]2. Overall cum progress Dec)'!L29</f>
        <v>239699</v>
      </c>
      <c r="M29" s="139">
        <f>SUM(C29:L29)</f>
        <v>4093730</v>
      </c>
      <c r="N29" s="102"/>
      <c r="O29" s="61"/>
      <c r="Y29" s="61">
        <f>C29-'2. Overall cum progress Sept14'!C29</f>
        <v>0</v>
      </c>
      <c r="Z29" s="61">
        <f>D29-'2. Overall cum progress Sept14'!D29</f>
        <v>0</v>
      </c>
      <c r="AA29" s="61">
        <f>E29-'2. Overall cum progress Sept14'!E29</f>
        <v>0</v>
      </c>
      <c r="AB29" s="61">
        <f>F29-'2. Overall cum progress Sept14'!F29</f>
        <v>126</v>
      </c>
      <c r="AC29" s="61">
        <f>G29-'2. Overall cum progress Sept14'!G29</f>
        <v>45713</v>
      </c>
      <c r="AD29" s="61">
        <f>H29-'2. Overall cum progress Sept14'!H29</f>
        <v>27078</v>
      </c>
      <c r="AE29" s="61" t="e">
        <f>I29-'2. Overall cum progress Sept14'!I29</f>
        <v>#VALUE!</v>
      </c>
      <c r="AF29" s="61">
        <f>J29-'2. Overall cum progress Sept14'!J29</f>
        <v>-261262</v>
      </c>
      <c r="AG29" s="61">
        <f>K29-'2. Overall cum progress Sept14'!K29</f>
        <v>90</v>
      </c>
      <c r="AH29" s="61">
        <f>L29-'2. Overall cum progress Sept14'!L29</f>
        <v>15724</v>
      </c>
      <c r="AI29" s="61">
        <f>M29-'2. Overall cum progress Sept14'!M29</f>
        <v>-172531</v>
      </c>
    </row>
    <row r="30" spans="1:35" s="56" customFormat="1">
      <c r="A30" s="367"/>
      <c r="B30" s="98" t="s">
        <v>16</v>
      </c>
      <c r="C30" s="140">
        <v>7981</v>
      </c>
      <c r="D30" s="140">
        <f t="shared" ref="D30:M30" si="10">SUM(D28:D29)</f>
        <v>621124</v>
      </c>
      <c r="E30" s="140">
        <f t="shared" si="10"/>
        <v>2756</v>
      </c>
      <c r="F30" s="140">
        <f t="shared" si="10"/>
        <v>38470</v>
      </c>
      <c r="G30" s="140">
        <f t="shared" si="10"/>
        <v>5326706</v>
      </c>
      <c r="H30" s="140">
        <f>SUM(H28:H29)</f>
        <v>844850</v>
      </c>
      <c r="I30" s="140">
        <f t="shared" si="10"/>
        <v>0</v>
      </c>
      <c r="J30" s="140">
        <f t="shared" si="10"/>
        <v>367801</v>
      </c>
      <c r="K30" s="140">
        <f t="shared" si="10"/>
        <v>62361</v>
      </c>
      <c r="L30" s="140">
        <f t="shared" si="10"/>
        <v>532118</v>
      </c>
      <c r="M30" s="140">
        <f t="shared" si="10"/>
        <v>7804167</v>
      </c>
      <c r="N30" s="102">
        <f>M30/1000000</f>
        <v>7.8041669999999996</v>
      </c>
      <c r="O30" s="61"/>
      <c r="Y30" s="61">
        <f>C30-'2. Overall cum progress Sept14'!C30</f>
        <v>0</v>
      </c>
      <c r="Z30" s="61">
        <f>D30-'2. Overall cum progress Sept14'!D30</f>
        <v>0</v>
      </c>
      <c r="AA30" s="61">
        <f>E30-'2. Overall cum progress Sept14'!E30</f>
        <v>0</v>
      </c>
      <c r="AB30" s="61">
        <f>F30-'2. Overall cum progress Sept14'!F30</f>
        <v>2120</v>
      </c>
      <c r="AC30" s="61">
        <f>G30-'2. Overall cum progress Sept14'!G30</f>
        <v>164821</v>
      </c>
      <c r="AD30" s="61">
        <f>H30-'2. Overall cum progress Sept14'!H30</f>
        <v>32305</v>
      </c>
      <c r="AE30" s="61">
        <f>I30-'2. Overall cum progress Sept14'!I30</f>
        <v>0</v>
      </c>
      <c r="AF30" s="61">
        <f>J30-'2. Overall cum progress Sept14'!J30</f>
        <v>10296</v>
      </c>
      <c r="AG30" s="61">
        <f>K30-'2. Overall cum progress Sept14'!K30</f>
        <v>3452</v>
      </c>
      <c r="AH30" s="61">
        <f>L30-'2. Overall cum progress Sept14'!L30</f>
        <v>31015</v>
      </c>
      <c r="AI30" s="61">
        <f>M30-'2. Overall cum progress Sept14'!M30</f>
        <v>244009</v>
      </c>
    </row>
    <row r="31" spans="1:35" s="61" customFormat="1">
      <c r="A31" s="377" t="s">
        <v>207</v>
      </c>
      <c r="B31" s="96" t="s">
        <v>17</v>
      </c>
      <c r="C31" s="148">
        <v>0</v>
      </c>
      <c r="D31" s="148">
        <f>'[10]2. Overall cum progress Dec)'!D31</f>
        <v>74813</v>
      </c>
      <c r="E31" s="148">
        <f>'[5]2. Overall cum progress Dec)'!E31</f>
        <v>0</v>
      </c>
      <c r="F31" s="148">
        <f>'[2]2. Overall cum progress Dec)'!F31</f>
        <v>28842</v>
      </c>
      <c r="G31" s="148">
        <f>'[3]2. Overall cum progress Dec)'!G31</f>
        <v>977735</v>
      </c>
      <c r="H31" s="139">
        <f>'[14]2. Overall cum progress Dec)'!H31</f>
        <v>0</v>
      </c>
      <c r="I31" s="310" t="str">
        <f>'[16]2. Overall cum progress Dec)'!I31</f>
        <v>-</v>
      </c>
      <c r="J31" s="148">
        <f>'[13]2. Overall cum progress Dec)'!J31</f>
        <v>289219</v>
      </c>
      <c r="K31" s="148">
        <f>'[7]2. Overall cum progress Dec)'!K31</f>
        <v>5834</v>
      </c>
      <c r="L31" s="148">
        <f>'[11]2. Overall cum progress Dec)'!L31</f>
        <v>86533</v>
      </c>
      <c r="M31" s="139">
        <f>SUM(C31:L31)</f>
        <v>1462976</v>
      </c>
      <c r="N31" s="61">
        <f>M31/M33%</f>
        <v>34.203770846406414</v>
      </c>
      <c r="R31" s="56"/>
      <c r="Y31" s="61">
        <f>C31-'2. Overall cum progress Sept14'!C31</f>
        <v>0</v>
      </c>
      <c r="Z31" s="61">
        <f>D31-'2. Overall cum progress Sept14'!D31</f>
        <v>0</v>
      </c>
      <c r="AA31" s="61">
        <f>E31-'2. Overall cum progress Sept14'!E31</f>
        <v>0</v>
      </c>
      <c r="AB31" s="61">
        <f>F31-'2. Overall cum progress Sept14'!F31</f>
        <v>2029</v>
      </c>
      <c r="AC31" s="61">
        <f>G31-'2. Overall cum progress Sept14'!G31</f>
        <v>51912</v>
      </c>
      <c r="AD31" s="61">
        <f>H31-'2. Overall cum progress Sept14'!H31</f>
        <v>0</v>
      </c>
      <c r="AE31" s="61" t="e">
        <f>I31-'2. Overall cum progress Sept14'!I31</f>
        <v>#VALUE!</v>
      </c>
      <c r="AF31" s="61">
        <f>J31-'2. Overall cum progress Sept14'!J31</f>
        <v>9083</v>
      </c>
      <c r="AG31" s="61">
        <f>K31-'2. Overall cum progress Sept14'!K31</f>
        <v>0</v>
      </c>
      <c r="AH31" s="61">
        <f>L31-'2. Overall cum progress Sept14'!L31</f>
        <v>0</v>
      </c>
      <c r="AI31" s="61">
        <f>M31-'2. Overall cum progress Sept14'!M31</f>
        <v>63024</v>
      </c>
    </row>
    <row r="32" spans="1:35" s="61" customFormat="1">
      <c r="A32" s="377"/>
      <c r="B32" s="97" t="s">
        <v>18</v>
      </c>
      <c r="C32" s="148">
        <v>0</v>
      </c>
      <c r="D32" s="148">
        <f>'[10]2. Overall cum progress Dec)'!D32</f>
        <v>546311</v>
      </c>
      <c r="E32" s="148">
        <f>'[5]2. Overall cum progress Dec)'!E32</f>
        <v>0</v>
      </c>
      <c r="F32" s="148">
        <f>'[2]2. Overall cum progress Dec)'!F32</f>
        <v>7680</v>
      </c>
      <c r="G32" s="148">
        <f>'[3]2. Overall cum progress Dec)'!G32</f>
        <v>2125287</v>
      </c>
      <c r="H32" s="139">
        <f>'[14]2. Overall cum progress Dec)'!H32</f>
        <v>0</v>
      </c>
      <c r="I32" s="310" t="str">
        <f>'[16]2. Overall cum progress Dec)'!I32</f>
        <v>-</v>
      </c>
      <c r="J32" s="148">
        <f>'[13]2. Overall cum progress Dec)'!J32</f>
        <v>40601</v>
      </c>
      <c r="K32" s="148">
        <f>'[7]2. Overall cum progress Dec)'!K32</f>
        <v>21566</v>
      </c>
      <c r="L32" s="148">
        <f>'[11]2. Overall cum progress Dec)'!L32</f>
        <v>72815</v>
      </c>
      <c r="M32" s="139">
        <f>SUM(C32:L32)</f>
        <v>2814260</v>
      </c>
      <c r="R32" s="56"/>
      <c r="Y32" s="61">
        <f>C32-'2. Overall cum progress Sept14'!C32</f>
        <v>0</v>
      </c>
      <c r="Z32" s="61">
        <f>D32-'2. Overall cum progress Sept14'!D32</f>
        <v>0</v>
      </c>
      <c r="AA32" s="61">
        <f>E32-'2. Overall cum progress Sept14'!E32</f>
        <v>0</v>
      </c>
      <c r="AB32" s="61">
        <f>F32-'2. Overall cum progress Sept14'!F32</f>
        <v>127</v>
      </c>
      <c r="AC32" s="61">
        <f>G32-'2. Overall cum progress Sept14'!G32</f>
        <v>42139</v>
      </c>
      <c r="AD32" s="61">
        <f>H32-'2. Overall cum progress Sept14'!H32</f>
        <v>0</v>
      </c>
      <c r="AE32" s="61" t="e">
        <f>I32-'2. Overall cum progress Sept14'!I32</f>
        <v>#VALUE!</v>
      </c>
      <c r="AF32" s="61">
        <f>J32-'2. Overall cum progress Sept14'!J32</f>
        <v>0</v>
      </c>
      <c r="AG32" s="61">
        <f>K32-'2. Overall cum progress Sept14'!K32</f>
        <v>0</v>
      </c>
      <c r="AH32" s="61">
        <f>L32-'2. Overall cum progress Sept14'!L32</f>
        <v>0</v>
      </c>
      <c r="AI32" s="61">
        <f>M32-'2. Overall cum progress Sept14'!M32</f>
        <v>42266</v>
      </c>
    </row>
    <row r="33" spans="1:35" s="61" customFormat="1">
      <c r="A33" s="377"/>
      <c r="B33" s="98" t="s">
        <v>16</v>
      </c>
      <c r="C33" s="140">
        <v>0</v>
      </c>
      <c r="D33" s="140">
        <f t="shared" ref="D33:M33" si="11">SUM(D31:D32)</f>
        <v>621124</v>
      </c>
      <c r="E33" s="140">
        <f t="shared" si="11"/>
        <v>0</v>
      </c>
      <c r="F33" s="140">
        <f t="shared" si="11"/>
        <v>36522</v>
      </c>
      <c r="G33" s="140">
        <f t="shared" si="11"/>
        <v>3103022</v>
      </c>
      <c r="H33" s="140">
        <f t="shared" si="11"/>
        <v>0</v>
      </c>
      <c r="I33" s="140">
        <f t="shared" si="11"/>
        <v>0</v>
      </c>
      <c r="J33" s="140">
        <f t="shared" si="11"/>
        <v>329820</v>
      </c>
      <c r="K33" s="140">
        <f t="shared" si="11"/>
        <v>27400</v>
      </c>
      <c r="L33" s="140">
        <f t="shared" si="11"/>
        <v>159348</v>
      </c>
      <c r="M33" s="140">
        <f t="shared" si="11"/>
        <v>4277236</v>
      </c>
      <c r="N33" s="60">
        <f>M33/1000000</f>
        <v>4.2772360000000003</v>
      </c>
      <c r="R33" s="56"/>
      <c r="Y33" s="61">
        <f>C33-'2. Overall cum progress Sept14'!C33</f>
        <v>0</v>
      </c>
      <c r="Z33" s="61">
        <f>D33-'2. Overall cum progress Sept14'!D33</f>
        <v>0</v>
      </c>
      <c r="AA33" s="61">
        <f>E33-'2. Overall cum progress Sept14'!E33</f>
        <v>0</v>
      </c>
      <c r="AB33" s="61">
        <f>F33-'2. Overall cum progress Sept14'!F33</f>
        <v>2156</v>
      </c>
      <c r="AC33" s="61">
        <f>G33-'2. Overall cum progress Sept14'!G33</f>
        <v>94051</v>
      </c>
      <c r="AD33" s="61">
        <f>H33-'2. Overall cum progress Sept14'!H33</f>
        <v>0</v>
      </c>
      <c r="AE33" s="61">
        <f>I33-'2. Overall cum progress Sept14'!I33</f>
        <v>0</v>
      </c>
      <c r="AF33" s="61">
        <f>J33-'2. Overall cum progress Sept14'!J33</f>
        <v>9083</v>
      </c>
      <c r="AG33" s="61">
        <f>K33-'2. Overall cum progress Sept14'!K33</f>
        <v>0</v>
      </c>
      <c r="AH33" s="61">
        <f>L33-'2. Overall cum progress Sept14'!L33</f>
        <v>0</v>
      </c>
      <c r="AI33" s="61">
        <f>M33-'2. Overall cum progress Sept14'!M33</f>
        <v>105290</v>
      </c>
    </row>
    <row r="34" spans="1:35" s="56" customFormat="1" ht="13.15" customHeight="1">
      <c r="A34" s="378" t="s">
        <v>239</v>
      </c>
      <c r="B34" s="97" t="s">
        <v>17</v>
      </c>
      <c r="C34" s="148">
        <v>0</v>
      </c>
      <c r="D34" s="148">
        <f>'[10]2. Overall cum progress Dec)'!D34</f>
        <v>74813</v>
      </c>
      <c r="E34" s="148">
        <f>'[5]2. Overall cum progress Dec)'!E34</f>
        <v>0</v>
      </c>
      <c r="F34" s="148">
        <f>'[2]2. Overall cum progress Dec)'!F34</f>
        <v>28842</v>
      </c>
      <c r="G34" s="148">
        <f>'[3]2. Overall cum progress Dec)'!G34</f>
        <v>1923026</v>
      </c>
      <c r="H34" s="139">
        <f>'[14]2. Overall cum progress Dec)'!H34</f>
        <v>0</v>
      </c>
      <c r="I34" s="310">
        <f>'[16]2. Overall cum progress Dec)'!I34</f>
        <v>0</v>
      </c>
      <c r="J34" s="148">
        <f>'[13]2. Overall cum progress Dec)'!J34</f>
        <v>362763</v>
      </c>
      <c r="K34" s="148">
        <f>'[7]2. Overall cum progress Dec)'!K34</f>
        <v>35004</v>
      </c>
      <c r="L34" s="148">
        <f>'[11]2. Overall cum progress Dec)'!L34</f>
        <v>88190</v>
      </c>
      <c r="M34" s="139">
        <f>SUM(C34:L34)</f>
        <v>2512638</v>
      </c>
      <c r="N34" s="60">
        <f>M34/1000000</f>
        <v>2.5126379999999999</v>
      </c>
      <c r="O34" s="61"/>
      <c r="Y34" s="61">
        <f>C34-'2. Overall cum progress Sept14'!C34</f>
        <v>0</v>
      </c>
      <c r="Z34" s="61">
        <f>D34-'2. Overall cum progress Sept14'!D34</f>
        <v>0</v>
      </c>
      <c r="AA34" s="61">
        <f>E34-'2. Overall cum progress Sept14'!E34</f>
        <v>0</v>
      </c>
      <c r="AB34" s="61">
        <f>F34-'2. Overall cum progress Sept14'!F34</f>
        <v>2029</v>
      </c>
      <c r="AC34" s="61">
        <f>G34-'2. Overall cum progress Sept14'!G34</f>
        <v>79493</v>
      </c>
      <c r="AD34" s="61">
        <f>H34-'2. Overall cum progress Sept14'!H34</f>
        <v>0</v>
      </c>
      <c r="AE34" s="61">
        <f>I34-'2. Overall cum progress Sept14'!I34</f>
        <v>0</v>
      </c>
      <c r="AF34" s="61">
        <f>J34-'2. Overall cum progress Sept14'!J34</f>
        <v>102</v>
      </c>
      <c r="AG34" s="61">
        <f>K34-'2. Overall cum progress Sept14'!K34</f>
        <v>0</v>
      </c>
      <c r="AH34" s="61">
        <f>L34-'2. Overall cum progress Sept14'!L34</f>
        <v>0</v>
      </c>
      <c r="AI34" s="61">
        <f>M34-'2. Overall cum progress Sept14'!M34</f>
        <v>81624</v>
      </c>
    </row>
    <row r="35" spans="1:35" s="56" customFormat="1">
      <c r="A35" s="378"/>
      <c r="B35" s="97" t="s">
        <v>18</v>
      </c>
      <c r="C35" s="148">
        <v>0</v>
      </c>
      <c r="D35" s="148">
        <f>'[10]2. Overall cum progress Dec)'!D35</f>
        <v>546311</v>
      </c>
      <c r="E35" s="148">
        <f>'[5]2. Overall cum progress Dec)'!E35</f>
        <v>0</v>
      </c>
      <c r="F35" s="148">
        <f>'[2]2. Overall cum progress Dec)'!F35</f>
        <v>7680</v>
      </c>
      <c r="G35" s="148">
        <f>'[3]2. Overall cum progress Dec)'!G35</f>
        <v>3007706</v>
      </c>
      <c r="H35" s="139">
        <f>'[14]2. Overall cum progress Dec)'!H35</f>
        <v>0</v>
      </c>
      <c r="I35" s="310">
        <f>'[16]2. Overall cum progress Dec)'!I35</f>
        <v>0</v>
      </c>
      <c r="J35" s="148">
        <f>'[13]2. Overall cum progress Dec)'!J35</f>
        <v>257340</v>
      </c>
      <c r="K35" s="148">
        <f>'[7]2. Overall cum progress Dec)'!K35</f>
        <v>129396</v>
      </c>
      <c r="L35" s="148">
        <f>'[11]2. Overall cum progress Dec)'!L35</f>
        <v>73703</v>
      </c>
      <c r="M35" s="139">
        <f>SUM(C35:L35)</f>
        <v>4022136</v>
      </c>
      <c r="N35" s="74"/>
      <c r="O35" s="61"/>
      <c r="Y35" s="61">
        <f>C35-'2. Overall cum progress Sept14'!C35</f>
        <v>0</v>
      </c>
      <c r="Z35" s="61">
        <f>D35-'2. Overall cum progress Sept14'!D35</f>
        <v>0</v>
      </c>
      <c r="AA35" s="61">
        <f>E35-'2. Overall cum progress Sept14'!E35</f>
        <v>0</v>
      </c>
      <c r="AB35" s="61">
        <f>F35-'2. Overall cum progress Sept14'!F35</f>
        <v>127</v>
      </c>
      <c r="AC35" s="61">
        <f>G35-'2. Overall cum progress Sept14'!G35</f>
        <v>85000</v>
      </c>
      <c r="AD35" s="61">
        <f>H35-'2. Overall cum progress Sept14'!H35</f>
        <v>0</v>
      </c>
      <c r="AE35" s="61">
        <f>I35-'2. Overall cum progress Sept14'!I35</f>
        <v>0</v>
      </c>
      <c r="AF35" s="61">
        <f>J35-'2. Overall cum progress Sept14'!J35</f>
        <v>0</v>
      </c>
      <c r="AG35" s="61">
        <f>K35-'2. Overall cum progress Sept14'!K35</f>
        <v>0</v>
      </c>
      <c r="AH35" s="61">
        <f>L35-'2. Overall cum progress Sept14'!L35</f>
        <v>0</v>
      </c>
      <c r="AI35" s="61">
        <f>M35-'2. Overall cum progress Sept14'!M35</f>
        <v>85127</v>
      </c>
    </row>
    <row r="36" spans="1:35" s="56" customFormat="1">
      <c r="A36" s="378"/>
      <c r="B36" s="98" t="s">
        <v>16</v>
      </c>
      <c r="C36" s="140">
        <v>0</v>
      </c>
      <c r="D36" s="140">
        <f t="shared" ref="D36:M36" si="12">SUM(D34:D35)</f>
        <v>621124</v>
      </c>
      <c r="E36" s="140">
        <f t="shared" si="12"/>
        <v>0</v>
      </c>
      <c r="F36" s="140">
        <f t="shared" si="12"/>
        <v>36522</v>
      </c>
      <c r="G36" s="140">
        <f t="shared" si="12"/>
        <v>4930732</v>
      </c>
      <c r="H36" s="140">
        <f>SUM(H34:H35)</f>
        <v>0</v>
      </c>
      <c r="I36" s="140">
        <f t="shared" si="12"/>
        <v>0</v>
      </c>
      <c r="J36" s="140">
        <f t="shared" si="12"/>
        <v>620103</v>
      </c>
      <c r="K36" s="140">
        <f t="shared" si="12"/>
        <v>164400</v>
      </c>
      <c r="L36" s="140">
        <f t="shared" si="12"/>
        <v>161893</v>
      </c>
      <c r="M36" s="140">
        <f t="shared" si="12"/>
        <v>6534774</v>
      </c>
      <c r="N36" s="60">
        <f>M36/1000000</f>
        <v>6.5347739999999996</v>
      </c>
      <c r="O36" s="61"/>
      <c r="Y36" s="61">
        <f>C36-'2. Overall cum progress Sept14'!C36</f>
        <v>0</v>
      </c>
      <c r="Z36" s="61">
        <f>D36-'2. Overall cum progress Sept14'!D36</f>
        <v>0</v>
      </c>
      <c r="AA36" s="61">
        <f>E36-'2. Overall cum progress Sept14'!E36</f>
        <v>0</v>
      </c>
      <c r="AB36" s="61">
        <f>F36-'2. Overall cum progress Sept14'!F36</f>
        <v>2156</v>
      </c>
      <c r="AC36" s="61">
        <f>G36-'2. Overall cum progress Sept14'!G36</f>
        <v>164493</v>
      </c>
      <c r="AD36" s="61">
        <f>H36-'2. Overall cum progress Sept14'!H36</f>
        <v>0</v>
      </c>
      <c r="AE36" s="61">
        <f>I36-'2. Overall cum progress Sept14'!I36</f>
        <v>0</v>
      </c>
      <c r="AF36" s="61">
        <f>J36-'2. Overall cum progress Sept14'!J36</f>
        <v>102</v>
      </c>
      <c r="AG36" s="61">
        <f>K36-'2. Overall cum progress Sept14'!K36</f>
        <v>0</v>
      </c>
      <c r="AH36" s="61">
        <f>L36-'2. Overall cum progress Sept14'!L36</f>
        <v>0</v>
      </c>
      <c r="AI36" s="61">
        <f>M36-'2. Overall cum progress Sept14'!M36</f>
        <v>166751</v>
      </c>
    </row>
    <row r="37" spans="1:35" s="62" customFormat="1">
      <c r="A37" s="379" t="s">
        <v>288</v>
      </c>
      <c r="B37" s="380"/>
      <c r="C37" s="148">
        <v>1637</v>
      </c>
      <c r="D37" s="148">
        <f>'[10]2. Overall cum progress Dec)'!D37</f>
        <v>3576</v>
      </c>
      <c r="E37" s="148">
        <f>'[5]2. Overall cum progress Dec)'!E37</f>
        <v>1447</v>
      </c>
      <c r="F37" s="148">
        <f>'[2]2. Overall cum progress Dec)'!F37</f>
        <v>693</v>
      </c>
      <c r="G37" s="148">
        <f>'[3]2. Overall cum progress Dec)'!G37</f>
        <v>31462</v>
      </c>
      <c r="H37" s="139">
        <f>'[14]2. Overall cum progress Dec)'!H37</f>
        <v>6433</v>
      </c>
      <c r="I37" s="310">
        <f>'[16]2. Overall cum progress Dec)'!I37</f>
        <v>16</v>
      </c>
      <c r="J37" s="148">
        <f>'[13]2. Overall cum progress Dec)'!J37</f>
        <v>39752</v>
      </c>
      <c r="K37" s="148">
        <f>'[7]2. Overall cum progress Dec)'!K37</f>
        <v>8944</v>
      </c>
      <c r="L37" s="148">
        <f>'[11]2. Overall cum progress Dec)'!L37</f>
        <v>61563</v>
      </c>
      <c r="M37" s="139">
        <f t="shared" ref="M37:M45" si="13">SUM(C37:L37)</f>
        <v>155523</v>
      </c>
      <c r="N37" s="74"/>
      <c r="O37" s="61"/>
      <c r="R37" s="56"/>
      <c r="Y37" s="61">
        <f>C37-'2. Overall cum progress Sept14'!C37</f>
        <v>0</v>
      </c>
      <c r="Z37" s="61">
        <f>D37-'2. Overall cum progress Sept14'!D37</f>
        <v>0</v>
      </c>
      <c r="AA37" s="61">
        <f>E37-'2. Overall cum progress Sept14'!E37</f>
        <v>0</v>
      </c>
      <c r="AB37" s="61">
        <f>F37-'2. Overall cum progress Sept14'!F37</f>
        <v>23</v>
      </c>
      <c r="AC37" s="61">
        <f>G37-'2. Overall cum progress Sept14'!G37</f>
        <v>1003</v>
      </c>
      <c r="AD37" s="61">
        <f>H37-'2. Overall cum progress Sept14'!H37</f>
        <v>0</v>
      </c>
      <c r="AE37" s="61">
        <f>I37-'2. Overall cum progress Sept14'!I37</f>
        <v>16</v>
      </c>
      <c r="AF37" s="61">
        <f>J37-'2. Overall cum progress Sept14'!J37</f>
        <v>11</v>
      </c>
      <c r="AG37" s="61">
        <f>K37-'2. Overall cum progress Sept14'!K37</f>
        <v>52</v>
      </c>
      <c r="AH37" s="61">
        <f>L37-'2. Overall cum progress Sept14'!L37</f>
        <v>318</v>
      </c>
      <c r="AI37" s="61">
        <f>M37-'2. Overall cum progress Sept14'!M37</f>
        <v>1423</v>
      </c>
    </row>
    <row r="38" spans="1:35" s="62" customFormat="1">
      <c r="A38" s="379" t="s">
        <v>289</v>
      </c>
      <c r="B38" s="380"/>
      <c r="C38" s="148">
        <v>1637</v>
      </c>
      <c r="D38" s="148">
        <f>'[10]2. Overall cum progress Dec)'!D38</f>
        <v>3576</v>
      </c>
      <c r="E38" s="148">
        <f>'[5]2. Overall cum progress Dec)'!E38</f>
        <v>1306</v>
      </c>
      <c r="F38" s="148">
        <f>'[2]2. Overall cum progress Dec)'!F38</f>
        <v>653</v>
      </c>
      <c r="G38" s="148">
        <f>'[3]2. Overall cum progress Dec)'!G38</f>
        <v>29729</v>
      </c>
      <c r="H38" s="139">
        <f>'[14]2. Overall cum progress Dec)'!H38</f>
        <v>6433</v>
      </c>
      <c r="I38" s="310">
        <f>'[16]2. Overall cum progress Dec)'!I38</f>
        <v>16</v>
      </c>
      <c r="J38" s="148">
        <f>'[13]2. Overall cum progress Dec)'!J38</f>
        <v>39752</v>
      </c>
      <c r="K38" s="148">
        <f>'[7]2. Overall cum progress Dec)'!K38</f>
        <v>8643</v>
      </c>
      <c r="L38" s="148">
        <f>'[11]2. Overall cum progress Dec)'!L38</f>
        <v>60568</v>
      </c>
      <c r="M38" s="139">
        <f t="shared" si="13"/>
        <v>152313</v>
      </c>
      <c r="N38" s="74"/>
      <c r="O38" s="61"/>
      <c r="R38" s="56"/>
      <c r="Y38" s="61">
        <f>C38-'2. Overall cum progress Sept14'!C38</f>
        <v>0</v>
      </c>
      <c r="Z38" s="61">
        <f>D38-'2. Overall cum progress Sept14'!D38</f>
        <v>0</v>
      </c>
      <c r="AA38" s="61">
        <f>E38-'2. Overall cum progress Sept14'!E38</f>
        <v>25</v>
      </c>
      <c r="AB38" s="61">
        <f>F38-'2. Overall cum progress Sept14'!F38</f>
        <v>17</v>
      </c>
      <c r="AC38" s="61">
        <f>G38-'2. Overall cum progress Sept14'!G38</f>
        <v>217</v>
      </c>
      <c r="AD38" s="61">
        <f>H38-'2. Overall cum progress Sept14'!H38</f>
        <v>0</v>
      </c>
      <c r="AE38" s="61">
        <f>I38-'2. Overall cum progress Sept14'!I38</f>
        <v>0</v>
      </c>
      <c r="AF38" s="61">
        <f>J38-'2. Overall cum progress Sept14'!J38</f>
        <v>11</v>
      </c>
      <c r="AG38" s="61">
        <f>K38-'2. Overall cum progress Sept14'!K38</f>
        <v>173</v>
      </c>
      <c r="AH38" s="61">
        <f>L38-'2. Overall cum progress Sept14'!L38</f>
        <v>318</v>
      </c>
      <c r="AI38" s="61">
        <f>M38-'2. Overall cum progress Sept14'!M38</f>
        <v>761</v>
      </c>
    </row>
    <row r="39" spans="1:35" s="63" customFormat="1">
      <c r="A39" s="379" t="s">
        <v>22</v>
      </c>
      <c r="B39" s="380"/>
      <c r="C39" s="148">
        <v>100347</v>
      </c>
      <c r="D39" s="148">
        <f>'[10]2. Overall cum progress Dec)'!D39</f>
        <v>284440</v>
      </c>
      <c r="E39" s="148">
        <f>'[5]2. Overall cum progress Dec)'!E39</f>
        <v>109647</v>
      </c>
      <c r="F39" s="148">
        <f>'[2]2. Overall cum progress Dec)'!F39</f>
        <v>24178</v>
      </c>
      <c r="G39" s="148">
        <f>'[3]2. Overall cum progress Dec)'!G39</f>
        <v>1346326</v>
      </c>
      <c r="H39" s="139">
        <f>'[14]2. Overall cum progress Dec)'!H39</f>
        <v>674798</v>
      </c>
      <c r="I39" s="310">
        <f>'[16]2. Overall cum progress Dec)'!I39</f>
        <v>6500</v>
      </c>
      <c r="J39" s="148">
        <f>'[13]2. Overall cum progress Dec)'!J39</f>
        <v>231420</v>
      </c>
      <c r="K39" s="148">
        <f>'[7]2. Overall cum progress Dec)'!K39</f>
        <v>1753959</v>
      </c>
      <c r="L39" s="148">
        <f>'[11]2. Overall cum progress Dec)'!L39</f>
        <v>417752</v>
      </c>
      <c r="M39" s="139">
        <f t="shared" si="13"/>
        <v>4949367</v>
      </c>
      <c r="N39" s="60">
        <f>M39/1000000</f>
        <v>4.9493669999999996</v>
      </c>
      <c r="O39" s="61">
        <f>476*15</f>
        <v>7140</v>
      </c>
      <c r="R39" s="56"/>
      <c r="Y39" s="61">
        <f>C39-'2. Overall cum progress Sept14'!C39</f>
        <v>0</v>
      </c>
      <c r="Z39" s="61">
        <f>D39-'2. Overall cum progress Sept14'!D39</f>
        <v>0</v>
      </c>
      <c r="AA39" s="61">
        <f>E39-'2. Overall cum progress Sept14'!E39</f>
        <v>0</v>
      </c>
      <c r="AB39" s="61">
        <f>F39-'2. Overall cum progress Sept14'!F39</f>
        <v>996</v>
      </c>
      <c r="AC39" s="61">
        <f>G39-'2. Overall cum progress Sept14'!G39</f>
        <v>34071</v>
      </c>
      <c r="AD39" s="61">
        <f>H39-'2. Overall cum progress Sept14'!H39</f>
        <v>0</v>
      </c>
      <c r="AE39" s="61">
        <f>I39-'2. Overall cum progress Sept14'!I39</f>
        <v>6500</v>
      </c>
      <c r="AF39" s="61">
        <f>J39-'2. Overall cum progress Sept14'!J39</f>
        <v>105</v>
      </c>
      <c r="AG39" s="61">
        <f>K39-'2. Overall cum progress Sept14'!K39</f>
        <v>10257</v>
      </c>
      <c r="AH39" s="61">
        <f>L39-'2. Overall cum progress Sept14'!L39</f>
        <v>3180</v>
      </c>
      <c r="AI39" s="61">
        <f>M39-'2. Overall cum progress Sept14'!M39</f>
        <v>55109</v>
      </c>
    </row>
    <row r="40" spans="1:35" s="63" customFormat="1">
      <c r="A40" s="370" t="s">
        <v>237</v>
      </c>
      <c r="B40" s="371"/>
      <c r="C40" s="148">
        <v>100347</v>
      </c>
      <c r="D40" s="148">
        <f>'[10]2. Overall cum progress Dec)'!D40</f>
        <v>284440</v>
      </c>
      <c r="E40" s="148">
        <f>'[5]2. Overall cum progress Dec)'!E40</f>
        <v>89252</v>
      </c>
      <c r="F40" s="148">
        <f>'[2]2. Overall cum progress Dec)'!F40</f>
        <v>23148</v>
      </c>
      <c r="G40" s="148">
        <f>'[3]2. Overall cum progress Dec)'!G40</f>
        <v>1260913</v>
      </c>
      <c r="H40" s="139">
        <f>'[14]2. Overall cum progress Dec)'!H40</f>
        <v>674798</v>
      </c>
      <c r="I40" s="310">
        <f>'[16]2. Overall cum progress Dec)'!I40</f>
        <v>0</v>
      </c>
      <c r="J40" s="148">
        <f>'[13]2. Overall cum progress Dec)'!J40</f>
        <v>231420</v>
      </c>
      <c r="K40" s="148">
        <f>'[7]2. Overall cum progress Dec)'!K40</f>
        <v>1728054</v>
      </c>
      <c r="L40" s="148">
        <f>'[11]2. Overall cum progress Dec)'!L40</f>
        <v>397783</v>
      </c>
      <c r="M40" s="139">
        <f t="shared" si="13"/>
        <v>4790155</v>
      </c>
      <c r="N40" s="60"/>
      <c r="O40" s="61"/>
      <c r="R40" s="56"/>
      <c r="Y40" s="61">
        <f>C40-'2. Overall cum progress Sept14'!C40</f>
        <v>0</v>
      </c>
      <c r="Z40" s="61">
        <f>D40-'2. Overall cum progress Sept14'!D40</f>
        <v>0</v>
      </c>
      <c r="AA40" s="61">
        <f>E40-'2. Overall cum progress Sept14'!E40</f>
        <v>1665</v>
      </c>
      <c r="AB40" s="61">
        <f>F40-'2. Overall cum progress Sept14'!F40</f>
        <v>416</v>
      </c>
      <c r="AC40" s="61">
        <f>G40-'2. Overall cum progress Sept14'!G40</f>
        <v>5962</v>
      </c>
      <c r="AD40" s="61">
        <f>H40-'2. Overall cum progress Sept14'!H40</f>
        <v>0</v>
      </c>
      <c r="AE40" s="61">
        <f>I40-'2. Overall cum progress Sept14'!I40</f>
        <v>0</v>
      </c>
      <c r="AF40" s="61">
        <f>J40-'2. Overall cum progress Sept14'!J40</f>
        <v>105</v>
      </c>
      <c r="AG40" s="61">
        <f>K40-'2. Overall cum progress Sept14'!K40</f>
        <v>50000</v>
      </c>
      <c r="AH40" s="61">
        <f>L40-'2. Overall cum progress Sept14'!L40</f>
        <v>3180</v>
      </c>
      <c r="AI40" s="61">
        <f>M40-'2. Overall cum progress Sept14'!M40</f>
        <v>61328</v>
      </c>
    </row>
    <row r="41" spans="1:35" s="64" customFormat="1">
      <c r="A41" s="361" t="s">
        <v>290</v>
      </c>
      <c r="B41" s="362"/>
      <c r="C41" s="148">
        <v>635.803</v>
      </c>
      <c r="D41" s="148">
        <f>'[10]2. Overall cum progress Dec)'!D41</f>
        <v>1825.46</v>
      </c>
      <c r="E41" s="148">
        <f>'[5]2. Overall cum progress Dec)'!E41</f>
        <v>753</v>
      </c>
      <c r="F41" s="148">
        <f>'[2]2. Overall cum progress Dec)'!F41</f>
        <v>293</v>
      </c>
      <c r="G41" s="148">
        <f>'[3]2. Overall cum progress Dec)'!G41</f>
        <v>8148.4342310000002</v>
      </c>
      <c r="H41" s="139">
        <f>'[14]2. Overall cum progress Dec)'!H41</f>
        <v>1675.2</v>
      </c>
      <c r="I41" s="310">
        <f>'[16]2. Overall cum progress Dec)'!I41</f>
        <v>20</v>
      </c>
      <c r="J41" s="148">
        <f>'[13]2. Overall cum progress Dec)'!J41</f>
        <v>2646</v>
      </c>
      <c r="K41" s="148">
        <f>'[7]2. Overall cum progress Dec)'!K41</f>
        <v>5956</v>
      </c>
      <c r="L41" s="148">
        <f>'[11]2. Overall cum progress Dec)'!L41</f>
        <v>1022.915</v>
      </c>
      <c r="M41" s="139">
        <f t="shared" si="13"/>
        <v>22975.812231000004</v>
      </c>
      <c r="N41" s="74">
        <f>M41/90</f>
        <v>255.28680256666669</v>
      </c>
      <c r="O41" s="103">
        <f>M41/85</f>
        <v>270.3036733058824</v>
      </c>
      <c r="R41" s="56"/>
      <c r="Y41" s="61">
        <f>C41-'2. Overall cum progress Sept14'!C41</f>
        <v>0</v>
      </c>
      <c r="Z41" s="61">
        <f>D41-'2. Overall cum progress Sept14'!D41</f>
        <v>0</v>
      </c>
      <c r="AA41" s="61">
        <f>E41-'2. Overall cum progress Sept14'!E41</f>
        <v>0</v>
      </c>
      <c r="AB41" s="61">
        <f>F41-'2. Overall cum progress Sept14'!F41</f>
        <v>28</v>
      </c>
      <c r="AC41" s="61">
        <f>G41-'2. Overall cum progress Sept14'!G41</f>
        <v>419.17066500000055</v>
      </c>
      <c r="AD41" s="61">
        <f>H41-'2. Overall cum progress Sept14'!H41</f>
        <v>1.9000000000005457E-2</v>
      </c>
      <c r="AE41" s="61">
        <f>I41-'2. Overall cum progress Sept14'!I41</f>
        <v>20</v>
      </c>
      <c r="AF41" s="61">
        <f>J41-'2. Overall cum progress Sept14'!J41</f>
        <v>27</v>
      </c>
      <c r="AG41" s="61">
        <f>K41-'2. Overall cum progress Sept14'!K41</f>
        <v>214</v>
      </c>
      <c r="AH41" s="61">
        <f>L41-'2. Overall cum progress Sept14'!L41</f>
        <v>4.8899999999999864</v>
      </c>
      <c r="AI41" s="61">
        <f>M41-'2. Overall cum progress Sept14'!M41</f>
        <v>713.07966500000111</v>
      </c>
    </row>
    <row r="42" spans="1:35" s="64" customFormat="1">
      <c r="A42" s="363" t="s">
        <v>291</v>
      </c>
      <c r="B42" s="364"/>
      <c r="C42" s="148">
        <v>635.803</v>
      </c>
      <c r="D42" s="148">
        <f>'[10]2. Overall cum progress Dec)'!D42</f>
        <v>1825.46</v>
      </c>
      <c r="E42" s="148">
        <f>'[5]2. Overall cum progress Dec)'!E42</f>
        <v>667</v>
      </c>
      <c r="F42" s="148">
        <f>'[2]2. Overall cum progress Dec)'!F42</f>
        <v>260.82400000000001</v>
      </c>
      <c r="G42" s="148">
        <f>'[3]2. Overall cum progress Dec)'!G42</f>
        <v>6948.505408</v>
      </c>
      <c r="H42" s="139">
        <f>'[14]2. Overall cum progress Dec)'!H42</f>
        <v>1675.2</v>
      </c>
      <c r="I42" s="310">
        <f>'[16]2. Overall cum progress Dec)'!I42</f>
        <v>20</v>
      </c>
      <c r="J42" s="148">
        <f>'[13]2. Overall cum progress Dec)'!J42</f>
        <v>2646</v>
      </c>
      <c r="K42" s="148">
        <f>'[7]2. Overall cum progress Dec)'!K42</f>
        <v>5432</v>
      </c>
      <c r="L42" s="148">
        <f>'[11]2. Overall cum progress Dec)'!L42</f>
        <v>977.36400000000003</v>
      </c>
      <c r="M42" s="139">
        <f t="shared" si="13"/>
        <v>21088.156408000003</v>
      </c>
      <c r="N42" s="74"/>
      <c r="O42" s="103"/>
      <c r="R42" s="56"/>
      <c r="Y42" s="61">
        <f>C42-'2. Overall cum progress Sept14'!C42</f>
        <v>0</v>
      </c>
      <c r="Z42" s="61">
        <f>D42-'2. Overall cum progress Sept14'!D42</f>
        <v>0</v>
      </c>
      <c r="AA42" s="61">
        <f>E42-'2. Overall cum progress Sept14'!E42</f>
        <v>2</v>
      </c>
      <c r="AB42" s="61">
        <f>F42-'2. Overall cum progress Sept14'!F42</f>
        <v>14.824000000000012</v>
      </c>
      <c r="AC42" s="61">
        <f>G42-'2. Overall cum progress Sept14'!G42</f>
        <v>117.23095600000033</v>
      </c>
      <c r="AD42" s="61">
        <f>H42-'2. Overall cum progress Sept14'!H42</f>
        <v>1.9000000000005457E-2</v>
      </c>
      <c r="AE42" s="61">
        <f>I42-'2. Overall cum progress Sept14'!I42</f>
        <v>0</v>
      </c>
      <c r="AF42" s="61">
        <f>J42-'2. Overall cum progress Sept14'!J42</f>
        <v>27</v>
      </c>
      <c r="AG42" s="61">
        <f>K42-'2. Overall cum progress Sept14'!K42</f>
        <v>431</v>
      </c>
      <c r="AH42" s="61">
        <f>L42-'2. Overall cum progress Sept14'!L42</f>
        <v>4.8900000000001</v>
      </c>
      <c r="AI42" s="61">
        <f>M42-'2. Overall cum progress Sept14'!M42</f>
        <v>596.96395600000324</v>
      </c>
    </row>
    <row r="43" spans="1:35" s="65" customFormat="1">
      <c r="A43" s="365" t="s">
        <v>23</v>
      </c>
      <c r="B43" s="366" t="s">
        <v>24</v>
      </c>
      <c r="C43" s="148">
        <v>355</v>
      </c>
      <c r="D43" s="148">
        <f>'[10]2. Overall cum progress Dec)'!D43</f>
        <v>867</v>
      </c>
      <c r="E43" s="148">
        <f>'[5]2. Overall cum progress Dec)'!E43</f>
        <v>141</v>
      </c>
      <c r="F43" s="148">
        <f>'[2]2. Overall cum progress Dec)'!F43</f>
        <v>3</v>
      </c>
      <c r="G43" s="148">
        <f>'[3]2. Overall cum progress Dec)'!G43</f>
        <v>545</v>
      </c>
      <c r="H43" s="139">
        <f>'[14]2. Overall cum progress Dec)'!H43</f>
        <v>186</v>
      </c>
      <c r="I43" s="310">
        <f>'[16]2. Overall cum progress Dec)'!I43</f>
        <v>25</v>
      </c>
      <c r="J43" s="148">
        <f>'[13]2. Overall cum progress Dec)'!J43</f>
        <v>3</v>
      </c>
      <c r="K43" s="148">
        <f>'[7]2. Overall cum progress Dec)'!K43</f>
        <v>89</v>
      </c>
      <c r="L43" s="148">
        <f>'[11]2. Overall cum progress Dec)'!L43</f>
        <v>113</v>
      </c>
      <c r="M43" s="139">
        <f t="shared" si="13"/>
        <v>2327</v>
      </c>
      <c r="N43" s="74"/>
      <c r="O43" s="61"/>
      <c r="R43" s="56"/>
      <c r="Y43" s="61">
        <f>C43-'2. Overall cum progress Sept14'!C43</f>
        <v>0</v>
      </c>
      <c r="Z43" s="61">
        <f>D43-'2. Overall cum progress Sept14'!D43</f>
        <v>0</v>
      </c>
      <c r="AA43" s="61">
        <f>E43-'2. Overall cum progress Sept14'!E43</f>
        <v>0</v>
      </c>
      <c r="AB43" s="61">
        <f>F43-'2. Overall cum progress Sept14'!F43</f>
        <v>0</v>
      </c>
      <c r="AC43" s="61">
        <f>G43-'2. Overall cum progress Sept14'!G43</f>
        <v>0</v>
      </c>
      <c r="AD43" s="61">
        <f>H43-'2. Overall cum progress Sept14'!H43</f>
        <v>0</v>
      </c>
      <c r="AE43" s="61">
        <f>I43-'2. Overall cum progress Sept14'!I43</f>
        <v>0</v>
      </c>
      <c r="AF43" s="61">
        <f>J43-'2. Overall cum progress Sept14'!J43</f>
        <v>0</v>
      </c>
      <c r="AG43" s="61">
        <f>K43-'2. Overall cum progress Sept14'!K43</f>
        <v>0</v>
      </c>
      <c r="AH43" s="61">
        <f>L43-'2. Overall cum progress Sept14'!L43</f>
        <v>0</v>
      </c>
      <c r="AI43" s="61">
        <f>M43-'2. Overall cum progress Sept14'!M43</f>
        <v>0</v>
      </c>
    </row>
    <row r="44" spans="1:35" s="56" customFormat="1">
      <c r="A44" s="367" t="s">
        <v>25</v>
      </c>
      <c r="B44" s="57" t="s">
        <v>24</v>
      </c>
      <c r="C44" s="148">
        <v>11370</v>
      </c>
      <c r="D44" s="148">
        <f>'[10]2. Overall cum progress Dec)'!D44</f>
        <v>2900</v>
      </c>
      <c r="E44" s="148">
        <f>'[5]2. Overall cum progress Dec)'!E44</f>
        <v>4453</v>
      </c>
      <c r="F44" s="148">
        <f>'[2]2. Overall cum progress Dec)'!F44</f>
        <v>780</v>
      </c>
      <c r="G44" s="148">
        <f>'[3]2. Overall cum progress Dec)'!G44</f>
        <v>9852</v>
      </c>
      <c r="H44" s="139">
        <f>'[14]2. Overall cum progress Dec)'!H44</f>
        <v>5901</v>
      </c>
      <c r="I44" s="310">
        <f>'[16]2. Overall cum progress Dec)'!I44</f>
        <v>3526</v>
      </c>
      <c r="J44" s="148">
        <f>'[13]2. Overall cum progress Dec)'!J44</f>
        <v>288</v>
      </c>
      <c r="K44" s="148">
        <f>'[7]2. Overall cum progress Dec)'!K44</f>
        <v>2182</v>
      </c>
      <c r="L44" s="148">
        <f>'[11]2. Overall cum progress Dec)'!L44</f>
        <v>1947</v>
      </c>
      <c r="M44" s="139">
        <f t="shared" si="13"/>
        <v>43199</v>
      </c>
      <c r="N44" s="74"/>
      <c r="O44" s="61"/>
      <c r="Y44" s="61">
        <f>C44-'2. Overall cum progress Sept14'!C44</f>
        <v>0</v>
      </c>
      <c r="Z44" s="61">
        <f>D44-'2. Overall cum progress Sept14'!D44</f>
        <v>0</v>
      </c>
      <c r="AA44" s="61">
        <f>E44-'2. Overall cum progress Sept14'!E44</f>
        <v>0</v>
      </c>
      <c r="AB44" s="61">
        <f>F44-'2. Overall cum progress Sept14'!F44</f>
        <v>0</v>
      </c>
      <c r="AC44" s="61">
        <f>G44-'2. Overall cum progress Sept14'!G44</f>
        <v>0</v>
      </c>
      <c r="AD44" s="61">
        <f>H44-'2. Overall cum progress Sept14'!H44</f>
        <v>10</v>
      </c>
      <c r="AE44" s="61">
        <f>I44-'2. Overall cum progress Sept14'!I44</f>
        <v>0</v>
      </c>
      <c r="AF44" s="61">
        <f>J44-'2. Overall cum progress Sept14'!J44</f>
        <v>0</v>
      </c>
      <c r="AG44" s="61">
        <f>K44-'2. Overall cum progress Sept14'!K44</f>
        <v>0</v>
      </c>
      <c r="AH44" s="61">
        <f>L44-'2. Overall cum progress Sept14'!L44</f>
        <v>0</v>
      </c>
      <c r="AI44" s="61">
        <f>M44-'2. Overall cum progress Sept14'!M44</f>
        <v>10</v>
      </c>
    </row>
    <row r="45" spans="1:35" s="56" customFormat="1">
      <c r="A45" s="367"/>
      <c r="B45" s="58" t="s">
        <v>26</v>
      </c>
      <c r="C45" s="148">
        <v>9922</v>
      </c>
      <c r="D45" s="148">
        <f>'[10]2. Overall cum progress Dec)'!D45</f>
        <v>7375</v>
      </c>
      <c r="E45" s="148">
        <f>'[5]2. Overall cum progress Dec)'!E45</f>
        <v>5543</v>
      </c>
      <c r="F45" s="148">
        <f>'[2]2. Overall cum progress Dec)'!F45</f>
        <v>608</v>
      </c>
      <c r="G45" s="148">
        <f>'[3]2. Overall cum progress Dec)'!G45</f>
        <v>10537</v>
      </c>
      <c r="H45" s="139">
        <f>'[14]2. Overall cum progress Dec)'!H45</f>
        <v>4578</v>
      </c>
      <c r="I45" s="310">
        <f>'[16]2. Overall cum progress Dec)'!I45</f>
        <v>5110</v>
      </c>
      <c r="J45" s="148">
        <f>'[13]2. Overall cum progress Dec)'!J45</f>
        <v>605</v>
      </c>
      <c r="K45" s="148">
        <f>'[7]2. Overall cum progress Dec)'!K45</f>
        <v>3046</v>
      </c>
      <c r="L45" s="148">
        <f>'[11]2. Overall cum progress Dec)'!L45</f>
        <v>707</v>
      </c>
      <c r="M45" s="139">
        <f t="shared" si="13"/>
        <v>48031</v>
      </c>
      <c r="N45" s="74"/>
      <c r="O45" s="61"/>
      <c r="Y45" s="61">
        <f>C45-'2. Overall cum progress Sept14'!C45</f>
        <v>0</v>
      </c>
      <c r="Z45" s="61">
        <f>D45-'2. Overall cum progress Sept14'!D45</f>
        <v>0</v>
      </c>
      <c r="AA45" s="61">
        <f>E45-'2. Overall cum progress Sept14'!E45</f>
        <v>0</v>
      </c>
      <c r="AB45" s="61">
        <f>F45-'2. Overall cum progress Sept14'!F45</f>
        <v>0</v>
      </c>
      <c r="AC45" s="61">
        <f>G45-'2. Overall cum progress Sept14'!G45</f>
        <v>0</v>
      </c>
      <c r="AD45" s="61">
        <f>H45-'2. Overall cum progress Sept14'!H45</f>
        <v>-122</v>
      </c>
      <c r="AE45" s="61">
        <f>I45-'2. Overall cum progress Sept14'!I45</f>
        <v>0</v>
      </c>
      <c r="AF45" s="61">
        <f>J45-'2. Overall cum progress Sept14'!J45</f>
        <v>0</v>
      </c>
      <c r="AG45" s="61">
        <f>K45-'2. Overall cum progress Sept14'!K45</f>
        <v>0</v>
      </c>
      <c r="AH45" s="61">
        <f>L45-'2. Overall cum progress Sept14'!L45</f>
        <v>0</v>
      </c>
      <c r="AI45" s="61">
        <f>M45-'2. Overall cum progress Sept14'!M45</f>
        <v>-122</v>
      </c>
    </row>
    <row r="46" spans="1:35" s="56" customFormat="1">
      <c r="A46" s="367"/>
      <c r="B46" s="59" t="s">
        <v>16</v>
      </c>
      <c r="C46" s="140">
        <v>21292</v>
      </c>
      <c r="D46" s="140">
        <f t="shared" ref="D46:M46" si="14">SUM(D44:D45)</f>
        <v>10275</v>
      </c>
      <c r="E46" s="140">
        <f t="shared" si="14"/>
        <v>9996</v>
      </c>
      <c r="F46" s="140">
        <f t="shared" si="14"/>
        <v>1388</v>
      </c>
      <c r="G46" s="140">
        <f t="shared" si="14"/>
        <v>20389</v>
      </c>
      <c r="H46" s="140">
        <f>SUM(H44:H45)</f>
        <v>10479</v>
      </c>
      <c r="I46" s="140">
        <f t="shared" si="14"/>
        <v>8636</v>
      </c>
      <c r="J46" s="140">
        <f t="shared" si="14"/>
        <v>893</v>
      </c>
      <c r="K46" s="140">
        <f t="shared" si="14"/>
        <v>5228</v>
      </c>
      <c r="L46" s="140">
        <f t="shared" si="14"/>
        <v>2654</v>
      </c>
      <c r="M46" s="140">
        <f t="shared" si="14"/>
        <v>91230</v>
      </c>
      <c r="N46" s="75">
        <f>M44/M46%</f>
        <v>47.351748328400745</v>
      </c>
      <c r="O46" s="61"/>
      <c r="Y46" s="61">
        <f>C46-'2. Overall cum progress Sept14'!C46</f>
        <v>0</v>
      </c>
      <c r="Z46" s="61">
        <f>D46-'2. Overall cum progress Sept14'!D46</f>
        <v>0</v>
      </c>
      <c r="AA46" s="61">
        <f>E46-'2. Overall cum progress Sept14'!E46</f>
        <v>0</v>
      </c>
      <c r="AB46" s="61">
        <f>F46-'2. Overall cum progress Sept14'!F46</f>
        <v>0</v>
      </c>
      <c r="AC46" s="61">
        <f>G46-'2. Overall cum progress Sept14'!G46</f>
        <v>0</v>
      </c>
      <c r="AD46" s="61">
        <f>H46-'2. Overall cum progress Sept14'!H46</f>
        <v>-112</v>
      </c>
      <c r="AE46" s="61">
        <f>I46-'2. Overall cum progress Sept14'!I46</f>
        <v>0</v>
      </c>
      <c r="AF46" s="61">
        <f>J46-'2. Overall cum progress Sept14'!J46</f>
        <v>0</v>
      </c>
      <c r="AG46" s="61">
        <f>K46-'2. Overall cum progress Sept14'!K46</f>
        <v>0</v>
      </c>
      <c r="AH46" s="61">
        <f>L46-'2. Overall cum progress Sept14'!L46</f>
        <v>0</v>
      </c>
      <c r="AI46" s="61">
        <f>M46-'2. Overall cum progress Sept14'!M46</f>
        <v>-112</v>
      </c>
    </row>
    <row r="47" spans="1:35" s="56" customFormat="1">
      <c r="A47" s="368" t="s">
        <v>292</v>
      </c>
      <c r="B47" s="57" t="s">
        <v>17</v>
      </c>
      <c r="C47" s="148">
        <v>0</v>
      </c>
      <c r="D47" s="148">
        <f>'[10]2. Overall cum progress Dec)'!D47</f>
        <v>0</v>
      </c>
      <c r="E47" s="148">
        <f>'[5]2. Overall cum progress Dec)'!E47</f>
        <v>0</v>
      </c>
      <c r="F47" s="148">
        <f>'[2]2. Overall cum progress Dec)'!F47</f>
        <v>0</v>
      </c>
      <c r="G47" s="148">
        <f>'[3]2. Overall cum progress Dec)'!G47</f>
        <v>22888</v>
      </c>
      <c r="H47" s="139">
        <f>'[14]2. Overall cum progress Dec)'!H47</f>
        <v>0</v>
      </c>
      <c r="I47" s="310">
        <f>'[16]2. Overall cum progress Dec)'!I47</f>
        <v>0</v>
      </c>
      <c r="J47" s="148">
        <f>'[13]2. Overall cum progress Dec)'!J47</f>
        <v>0</v>
      </c>
      <c r="K47" s="148">
        <f>'[7]2. Overall cum progress Dec)'!K47</f>
        <v>3989</v>
      </c>
      <c r="L47" s="148">
        <f>'[11]2. Overall cum progress Dec)'!L47</f>
        <v>0</v>
      </c>
      <c r="M47" s="139">
        <f>SUM(C47:L47)</f>
        <v>26877</v>
      </c>
      <c r="N47" s="74"/>
      <c r="O47" s="61"/>
      <c r="Y47" s="61">
        <f>C47-'2. Overall cum progress Sept14'!C47</f>
        <v>0</v>
      </c>
      <c r="Z47" s="61">
        <f>D47-'2. Overall cum progress Sept14'!D47</f>
        <v>0</v>
      </c>
      <c r="AA47" s="61">
        <f>E47-'2. Overall cum progress Sept14'!E47</f>
        <v>0</v>
      </c>
      <c r="AB47" s="61">
        <f>F47-'2. Overall cum progress Sept14'!F47</f>
        <v>0</v>
      </c>
      <c r="AC47" s="61">
        <f>G47-'2. Overall cum progress Sept14'!G47</f>
        <v>0</v>
      </c>
      <c r="AD47" s="61">
        <f>H47-'2. Overall cum progress Sept14'!H47</f>
        <v>0</v>
      </c>
      <c r="AE47" s="61">
        <f>I47-'2. Overall cum progress Sept14'!I47</f>
        <v>0</v>
      </c>
      <c r="AF47" s="61">
        <f>J47-'2. Overall cum progress Sept14'!J47</f>
        <v>0</v>
      </c>
      <c r="AG47" s="61">
        <f>K47-'2. Overall cum progress Sept14'!K47</f>
        <v>0</v>
      </c>
      <c r="AH47" s="61">
        <f>L47-'2. Overall cum progress Sept14'!L47</f>
        <v>0</v>
      </c>
      <c r="AI47" s="61">
        <f>M47-'2. Overall cum progress Sept14'!M47</f>
        <v>0</v>
      </c>
    </row>
    <row r="48" spans="1:35" s="56" customFormat="1">
      <c r="A48" s="368"/>
      <c r="B48" s="58" t="s">
        <v>18</v>
      </c>
      <c r="C48" s="148">
        <v>0</v>
      </c>
      <c r="D48" s="148">
        <f>'[10]2. Overall cum progress Dec)'!D48</f>
        <v>0</v>
      </c>
      <c r="E48" s="148">
        <f>'[5]2. Overall cum progress Dec)'!E48</f>
        <v>0</v>
      </c>
      <c r="F48" s="148">
        <f>'[2]2. Overall cum progress Dec)'!F48</f>
        <v>0</v>
      </c>
      <c r="G48" s="148">
        <f>'[3]2. Overall cum progress Dec)'!G48</f>
        <v>2494</v>
      </c>
      <c r="H48" s="139">
        <f>'[14]2. Overall cum progress Dec)'!H48</f>
        <v>0</v>
      </c>
      <c r="I48" s="310">
        <f>'[16]2. Overall cum progress Dec)'!I48</f>
        <v>0</v>
      </c>
      <c r="J48" s="148">
        <f>'[13]2. Overall cum progress Dec)'!J48</f>
        <v>0</v>
      </c>
      <c r="K48" s="148">
        <f>'[7]2. Overall cum progress Dec)'!K48</f>
        <v>722</v>
      </c>
      <c r="L48" s="148">
        <f>'[11]2. Overall cum progress Dec)'!L48</f>
        <v>0</v>
      </c>
      <c r="M48" s="139">
        <f>SUM(C48:L48)</f>
        <v>3216</v>
      </c>
      <c r="N48" s="74"/>
      <c r="O48" s="61"/>
      <c r="Y48" s="61">
        <f>C48-'2. Overall cum progress Sept14'!C48</f>
        <v>0</v>
      </c>
      <c r="Z48" s="61">
        <f>D48-'2. Overall cum progress Sept14'!D48</f>
        <v>0</v>
      </c>
      <c r="AA48" s="61">
        <f>E48-'2. Overall cum progress Sept14'!E48</f>
        <v>0</v>
      </c>
      <c r="AB48" s="61">
        <f>F48-'2. Overall cum progress Sept14'!F48</f>
        <v>0</v>
      </c>
      <c r="AC48" s="61">
        <f>G48-'2. Overall cum progress Sept14'!G48</f>
        <v>0</v>
      </c>
      <c r="AD48" s="61">
        <f>H48-'2. Overall cum progress Sept14'!H48</f>
        <v>0</v>
      </c>
      <c r="AE48" s="61">
        <f>I48-'2. Overall cum progress Sept14'!I48</f>
        <v>0</v>
      </c>
      <c r="AF48" s="61">
        <f>J48-'2. Overall cum progress Sept14'!J48</f>
        <v>0</v>
      </c>
      <c r="AG48" s="61">
        <f>K48-'2. Overall cum progress Sept14'!K48</f>
        <v>0</v>
      </c>
      <c r="AH48" s="61">
        <f>L48-'2. Overall cum progress Sept14'!L48</f>
        <v>0</v>
      </c>
      <c r="AI48" s="61">
        <f>M48-'2. Overall cum progress Sept14'!M48</f>
        <v>0</v>
      </c>
    </row>
    <row r="49" spans="1:35" s="56" customFormat="1">
      <c r="A49" s="368"/>
      <c r="B49" s="59" t="s">
        <v>16</v>
      </c>
      <c r="C49" s="140">
        <v>0</v>
      </c>
      <c r="D49" s="140">
        <f t="shared" ref="D49:M49" si="15">SUM(D47:D48)</f>
        <v>0</v>
      </c>
      <c r="E49" s="200">
        <v>0</v>
      </c>
      <c r="F49" s="140">
        <f t="shared" ref="F49:G49" si="16">SUM(F47:F48)</f>
        <v>0</v>
      </c>
      <c r="G49" s="140">
        <f t="shared" si="16"/>
        <v>25382</v>
      </c>
      <c r="H49" s="140">
        <f>SUM(H47:H48)</f>
        <v>0</v>
      </c>
      <c r="I49" s="140">
        <f t="shared" si="15"/>
        <v>0</v>
      </c>
      <c r="J49" s="140">
        <f t="shared" si="15"/>
        <v>0</v>
      </c>
      <c r="K49" s="140">
        <f t="shared" si="15"/>
        <v>4711</v>
      </c>
      <c r="L49" s="140">
        <f t="shared" si="15"/>
        <v>0</v>
      </c>
      <c r="M49" s="140">
        <f t="shared" si="15"/>
        <v>30093</v>
      </c>
      <c r="N49" s="74"/>
      <c r="O49" s="61"/>
      <c r="Y49" s="61">
        <f>C49-'2. Overall cum progress Sept14'!C49</f>
        <v>0</v>
      </c>
      <c r="Z49" s="61">
        <f>D49-'2. Overall cum progress Sept14'!D49</f>
        <v>0</v>
      </c>
      <c r="AA49" s="61">
        <f>E49-'2. Overall cum progress Sept14'!E49</f>
        <v>0</v>
      </c>
      <c r="AB49" s="61">
        <f>F49-'2. Overall cum progress Sept14'!F49</f>
        <v>0</v>
      </c>
      <c r="AC49" s="61">
        <f>G49-'2. Overall cum progress Sept14'!G49</f>
        <v>0</v>
      </c>
      <c r="AD49" s="61">
        <f>H49-'2. Overall cum progress Sept14'!H49</f>
        <v>0</v>
      </c>
      <c r="AE49" s="61">
        <f>I49-'2. Overall cum progress Sept14'!I49</f>
        <v>0</v>
      </c>
      <c r="AF49" s="61">
        <f>J49-'2. Overall cum progress Sept14'!J49</f>
        <v>0</v>
      </c>
      <c r="AG49" s="61">
        <f>K49-'2. Overall cum progress Sept14'!K49</f>
        <v>0</v>
      </c>
      <c r="AH49" s="61">
        <f>L49-'2. Overall cum progress Sept14'!L49</f>
        <v>0</v>
      </c>
      <c r="AI49" s="61">
        <f>M49-'2. Overall cum progress Sept14'!M49</f>
        <v>0</v>
      </c>
    </row>
    <row r="50" spans="1:35" s="56" customFormat="1">
      <c r="A50" s="367" t="s">
        <v>293</v>
      </c>
      <c r="B50" s="57" t="s">
        <v>17</v>
      </c>
      <c r="C50" s="148">
        <v>31</v>
      </c>
      <c r="D50" s="148">
        <f>'[10]2. Overall cum progress Dec)'!D50</f>
        <v>1243</v>
      </c>
      <c r="E50" s="148">
        <f>'[5]2. Overall cum progress Dec)'!E50</f>
        <v>1688</v>
      </c>
      <c r="F50" s="148">
        <f>'[2]2. Overall cum progress Dec)'!F50</f>
        <v>95</v>
      </c>
      <c r="G50" s="148">
        <f>'[3]2. Overall cum progress Dec)'!G50</f>
        <v>3153</v>
      </c>
      <c r="H50" s="139">
        <f>'[14]2. Overall cum progress Dec)'!H50</f>
        <v>8442</v>
      </c>
      <c r="I50" s="310">
        <f>'[16]2. Overall cum progress Dec)'!I50</f>
        <v>410</v>
      </c>
      <c r="J50" s="148">
        <f>'[13]2. Overall cum progress Dec)'!J50</f>
        <v>4777</v>
      </c>
      <c r="K50" s="148">
        <f>'[7]2. Overall cum progress Dec)'!K50</f>
        <v>1066</v>
      </c>
      <c r="L50" s="148">
        <f>'[11]2. Overall cum progress Dec)'!L50</f>
        <v>867</v>
      </c>
      <c r="M50" s="139">
        <f>SUM(C50:L50)</f>
        <v>21772</v>
      </c>
      <c r="N50" s="74"/>
      <c r="O50" s="61"/>
      <c r="Y50" s="61">
        <f>C50-'2. Overall cum progress Sept14'!C50</f>
        <v>0</v>
      </c>
      <c r="Z50" s="61">
        <f>D50-'2. Overall cum progress Sept14'!D50</f>
        <v>0</v>
      </c>
      <c r="AA50" s="61">
        <f>E50-'2. Overall cum progress Sept14'!E50</f>
        <v>0</v>
      </c>
      <c r="AB50" s="61">
        <f>F50-'2. Overall cum progress Sept14'!F50</f>
        <v>0</v>
      </c>
      <c r="AC50" s="61">
        <f>G50-'2. Overall cum progress Sept14'!G50</f>
        <v>0</v>
      </c>
      <c r="AD50" s="61">
        <f>H50-'2. Overall cum progress Sept14'!H50</f>
        <v>0</v>
      </c>
      <c r="AE50" s="61">
        <f>I50-'2. Overall cum progress Sept14'!I50</f>
        <v>0</v>
      </c>
      <c r="AF50" s="61">
        <f>J50-'2. Overall cum progress Sept14'!J50</f>
        <v>0</v>
      </c>
      <c r="AG50" s="61">
        <f>K50-'2. Overall cum progress Sept14'!K50</f>
        <v>0</v>
      </c>
      <c r="AH50" s="61">
        <f>L50-'2. Overall cum progress Sept14'!L50</f>
        <v>0</v>
      </c>
      <c r="AI50" s="61">
        <f>M50-'2. Overall cum progress Sept14'!M50</f>
        <v>0</v>
      </c>
    </row>
    <row r="51" spans="1:35" s="56" customFormat="1">
      <c r="A51" s="367"/>
      <c r="B51" s="58" t="s">
        <v>18</v>
      </c>
      <c r="C51" s="148">
        <v>0</v>
      </c>
      <c r="D51" s="148">
        <f>'[10]2. Overall cum progress Dec)'!D51</f>
        <v>0</v>
      </c>
      <c r="E51" s="148">
        <f>'[5]2. Overall cum progress Dec)'!E51</f>
        <v>0</v>
      </c>
      <c r="F51" s="148">
        <f>'[2]2. Overall cum progress Dec)'!F51</f>
        <v>0</v>
      </c>
      <c r="G51" s="148">
        <f>'[3]2. Overall cum progress Dec)'!G51</f>
        <v>0</v>
      </c>
      <c r="H51" s="139">
        <f>'[14]2. Overall cum progress Dec)'!H51</f>
        <v>1770</v>
      </c>
      <c r="I51" s="310">
        <f>'[16]2. Overall cum progress Dec)'!I51</f>
        <v>0</v>
      </c>
      <c r="J51" s="148">
        <f>'[13]2. Overall cum progress Dec)'!J51</f>
        <v>0</v>
      </c>
      <c r="K51" s="148">
        <f>'[7]2. Overall cum progress Dec)'!K51</f>
        <v>467</v>
      </c>
      <c r="L51" s="148">
        <f>'[11]2. Overall cum progress Dec)'!L51</f>
        <v>675</v>
      </c>
      <c r="M51" s="139">
        <f>SUM(C51:L51)</f>
        <v>2912</v>
      </c>
      <c r="N51" s="74"/>
      <c r="O51" s="61"/>
      <c r="Y51" s="61">
        <f>C51-'2. Overall cum progress Sept14'!C51</f>
        <v>0</v>
      </c>
      <c r="Z51" s="61">
        <f>D51-'2. Overall cum progress Sept14'!D51</f>
        <v>0</v>
      </c>
      <c r="AA51" s="61">
        <f>E51-'2. Overall cum progress Sept14'!E51</f>
        <v>0</v>
      </c>
      <c r="AB51" s="61">
        <f>F51-'2. Overall cum progress Sept14'!F51</f>
        <v>0</v>
      </c>
      <c r="AC51" s="61">
        <f>G51-'2. Overall cum progress Sept14'!G51</f>
        <v>0</v>
      </c>
      <c r="AD51" s="61">
        <f>H51-'2. Overall cum progress Sept14'!H51</f>
        <v>0</v>
      </c>
      <c r="AE51" s="61">
        <f>I51-'2. Overall cum progress Sept14'!I51</f>
        <v>0</v>
      </c>
      <c r="AF51" s="61">
        <f>J51-'2. Overall cum progress Sept14'!J51</f>
        <v>0</v>
      </c>
      <c r="AG51" s="61">
        <f>K51-'2. Overall cum progress Sept14'!K51</f>
        <v>0</v>
      </c>
      <c r="AH51" s="61">
        <f>L51-'2. Overall cum progress Sept14'!L51</f>
        <v>0</v>
      </c>
      <c r="AI51" s="61">
        <f>M51-'2. Overall cum progress Sept14'!M51</f>
        <v>0</v>
      </c>
    </row>
    <row r="52" spans="1:35" s="56" customFormat="1">
      <c r="A52" s="369"/>
      <c r="B52" s="304" t="s">
        <v>16</v>
      </c>
      <c r="C52" s="140">
        <v>31</v>
      </c>
      <c r="D52" s="140">
        <f t="shared" ref="D52:J52" si="17">SUM(D50:D51)</f>
        <v>1243</v>
      </c>
      <c r="E52" s="140">
        <f t="shared" si="17"/>
        <v>1688</v>
      </c>
      <c r="F52" s="140">
        <f t="shared" ref="F52:G52" si="18">SUM(F50:F51)</f>
        <v>95</v>
      </c>
      <c r="G52" s="140">
        <f t="shared" si="18"/>
        <v>3153</v>
      </c>
      <c r="H52" s="140">
        <f>SUM(H50:H51)</f>
        <v>10212</v>
      </c>
      <c r="I52" s="140">
        <f t="shared" si="17"/>
        <v>410</v>
      </c>
      <c r="J52" s="140">
        <f t="shared" si="17"/>
        <v>4777</v>
      </c>
      <c r="K52" s="140">
        <f>SUM(K50:K51)</f>
        <v>1533</v>
      </c>
      <c r="L52" s="140">
        <f>SUM(L50:L51)</f>
        <v>1542</v>
      </c>
      <c r="M52" s="140">
        <f>SUM(M50:M51)</f>
        <v>24684</v>
      </c>
      <c r="N52" s="74"/>
      <c r="O52" s="61"/>
      <c r="Y52" s="61">
        <f>C52-'2. Overall cum progress Sept14'!C52</f>
        <v>0</v>
      </c>
      <c r="Z52" s="61">
        <f>D52-'2. Overall cum progress Sept14'!D52</f>
        <v>0</v>
      </c>
      <c r="AA52" s="61">
        <f>E52-'2. Overall cum progress Sept14'!E52</f>
        <v>0</v>
      </c>
      <c r="AB52" s="61">
        <f>F52-'2. Overall cum progress Sept14'!F52</f>
        <v>0</v>
      </c>
      <c r="AC52" s="61">
        <f>G52-'2. Overall cum progress Sept14'!G52</f>
        <v>0</v>
      </c>
      <c r="AD52" s="61">
        <f>H52-'2. Overall cum progress Sept14'!H52</f>
        <v>0</v>
      </c>
      <c r="AE52" s="61">
        <f>I52-'2. Overall cum progress Sept14'!I52</f>
        <v>0</v>
      </c>
      <c r="AF52" s="61">
        <f>J52-'2. Overall cum progress Sept14'!J52</f>
        <v>0</v>
      </c>
      <c r="AG52" s="61">
        <f>K52-'2. Overall cum progress Sept14'!K52</f>
        <v>0</v>
      </c>
      <c r="AH52" s="61">
        <f>L52-'2. Overall cum progress Sept14'!L52</f>
        <v>0</v>
      </c>
      <c r="AI52" s="61">
        <f>M52-'2. Overall cum progress Sept14'!M52</f>
        <v>0</v>
      </c>
    </row>
    <row r="53" spans="1:35" s="56" customFormat="1">
      <c r="A53" s="359" t="s">
        <v>333</v>
      </c>
      <c r="B53" s="309" t="s">
        <v>331</v>
      </c>
      <c r="C53" s="148">
        <v>0</v>
      </c>
      <c r="D53" s="148">
        <f>'[10]2. Overall cum progress Dec)'!D53</f>
        <v>1</v>
      </c>
      <c r="E53" s="148">
        <f>'[5]2. Overall cum progress Dec)'!E53</f>
        <v>1</v>
      </c>
      <c r="F53" s="148">
        <v>1</v>
      </c>
      <c r="G53" s="148">
        <f>'[3]2. Overall cum progress Dec)'!G53</f>
        <v>1</v>
      </c>
      <c r="H53" s="139">
        <f>'[14]2. Overall cum progress Dec)'!H53</f>
        <v>1</v>
      </c>
      <c r="I53" s="310">
        <f>'[16]2. Overall cum progress Dec)'!I53</f>
        <v>1</v>
      </c>
      <c r="J53" s="148">
        <f>'[13]2. Overall cum progress Dec)'!J53</f>
        <v>1</v>
      </c>
      <c r="K53" s="148">
        <f>'[7]2. Overall cum progress Dec)'!K53</f>
        <v>1</v>
      </c>
      <c r="L53" s="148">
        <f>'[11]2. Overall cum progress Dec)'!L53</f>
        <v>1</v>
      </c>
      <c r="M53" s="139">
        <f>SUM(C53:L53)</f>
        <v>9</v>
      </c>
      <c r="N53" s="74"/>
      <c r="O53" s="61"/>
      <c r="Y53" s="61">
        <f>C53-'2. Overall cum progress Sept14'!C53</f>
        <v>0</v>
      </c>
      <c r="Z53" s="61">
        <f>D53-'2. Overall cum progress Sept14'!D53</f>
        <v>1</v>
      </c>
      <c r="AA53" s="61">
        <f>E53-'2. Overall cum progress Sept14'!E53</f>
        <v>1</v>
      </c>
      <c r="AB53" s="61">
        <f>F53-'2. Overall cum progress Sept14'!F53</f>
        <v>1</v>
      </c>
      <c r="AC53" s="61">
        <f>G53-'2. Overall cum progress Sept14'!G53</f>
        <v>1</v>
      </c>
      <c r="AD53" s="61">
        <f>H53-'2. Overall cum progress Sept14'!H53</f>
        <v>1</v>
      </c>
      <c r="AE53" s="61">
        <f>I53-'2. Overall cum progress Sept14'!I53</f>
        <v>1</v>
      </c>
      <c r="AF53" s="61">
        <f>J53-'2. Overall cum progress Sept14'!J53</f>
        <v>1</v>
      </c>
      <c r="AG53" s="61">
        <f>K53-'2. Overall cum progress Sept14'!K53</f>
        <v>1</v>
      </c>
      <c r="AH53" s="61">
        <f>L53-'2. Overall cum progress Sept14'!L53</f>
        <v>1</v>
      </c>
      <c r="AI53" s="61">
        <f>M53-'2. Overall cum progress Sept14'!M53</f>
        <v>9</v>
      </c>
    </row>
    <row r="54" spans="1:35" s="56" customFormat="1">
      <c r="A54" s="359"/>
      <c r="B54" s="309" t="s">
        <v>328</v>
      </c>
      <c r="C54" s="148">
        <v>0</v>
      </c>
      <c r="D54" s="148">
        <f>'[10]2. Overall cum progress Dec)'!D54</f>
        <v>3</v>
      </c>
      <c r="E54" s="148">
        <f>'[5]2. Overall cum progress Dec)'!E54</f>
        <v>0</v>
      </c>
      <c r="F54" s="148">
        <v>1</v>
      </c>
      <c r="G54" s="148">
        <f>'[3]2. Overall cum progress Dec)'!G54</f>
        <v>9</v>
      </c>
      <c r="H54" s="139">
        <f>'[14]2. Overall cum progress Dec)'!H54</f>
        <v>3</v>
      </c>
      <c r="I54" s="310">
        <f>'[16]2. Overall cum progress Dec)'!I54</f>
        <v>4</v>
      </c>
      <c r="J54" s="148">
        <f>'[13]2. Overall cum progress Dec)'!J54</f>
        <v>0</v>
      </c>
      <c r="K54" s="148">
        <f>'[7]2. Overall cum progress Dec)'!K54</f>
        <v>6</v>
      </c>
      <c r="L54" s="148">
        <f>'[11]2. Overall cum progress Dec)'!L54</f>
        <v>0</v>
      </c>
      <c r="M54" s="139">
        <f>SUM(C54:L54)</f>
        <v>26</v>
      </c>
      <c r="N54" s="74"/>
      <c r="O54" s="61"/>
      <c r="Y54" s="61">
        <f>C54-'2. Overall cum progress Sept14'!C54</f>
        <v>0</v>
      </c>
      <c r="Z54" s="61">
        <f>D54-'2. Overall cum progress Sept14'!D54</f>
        <v>3</v>
      </c>
      <c r="AA54" s="61">
        <f>E54-'2. Overall cum progress Sept14'!E54</f>
        <v>0</v>
      </c>
      <c r="AB54" s="61">
        <f>F54-'2. Overall cum progress Sept14'!F54</f>
        <v>1</v>
      </c>
      <c r="AC54" s="61">
        <f>G54-'2. Overall cum progress Sept14'!G54</f>
        <v>9</v>
      </c>
      <c r="AD54" s="61">
        <f>H54-'2. Overall cum progress Sept14'!H54</f>
        <v>3</v>
      </c>
      <c r="AE54" s="61">
        <f>I54-'2. Overall cum progress Sept14'!I54</f>
        <v>4</v>
      </c>
      <c r="AF54" s="61">
        <f>J54-'2. Overall cum progress Sept14'!J54</f>
        <v>0</v>
      </c>
      <c r="AG54" s="61">
        <f>K54-'2. Overall cum progress Sept14'!K54</f>
        <v>6</v>
      </c>
      <c r="AH54" s="61">
        <f>L54-'2. Overall cum progress Sept14'!L54</f>
        <v>0</v>
      </c>
      <c r="AI54" s="61">
        <f>M54-'2. Overall cum progress Sept14'!M54</f>
        <v>26</v>
      </c>
    </row>
    <row r="55" spans="1:35" s="56" customFormat="1">
      <c r="A55" s="359"/>
      <c r="B55" s="309" t="s">
        <v>332</v>
      </c>
      <c r="C55" s="148">
        <v>0</v>
      </c>
      <c r="D55" s="148">
        <f>'[10]2. Overall cum progress Dec)'!D55</f>
        <v>4</v>
      </c>
      <c r="E55" s="148">
        <v>10</v>
      </c>
      <c r="F55" s="148">
        <v>0</v>
      </c>
      <c r="G55" s="148">
        <f>'[3]2. Overall cum progress Dec)'!G55</f>
        <v>32</v>
      </c>
      <c r="H55" s="139">
        <f>'[14]2. Overall cum progress Dec)'!H55</f>
        <v>18</v>
      </c>
      <c r="I55" s="310">
        <f>'[16]2. Overall cum progress Dec)'!I55</f>
        <v>1</v>
      </c>
      <c r="J55" s="148">
        <v>9</v>
      </c>
      <c r="K55" s="148">
        <f>'[7]2. Overall cum progress Dec)'!K55</f>
        <v>14</v>
      </c>
      <c r="L55" s="148">
        <f>'[11]2. Overall cum progress Dec)'!L55</f>
        <v>4</v>
      </c>
      <c r="M55" s="139">
        <f>SUM(C55:L55)</f>
        <v>92</v>
      </c>
      <c r="N55" s="74"/>
      <c r="O55" s="61"/>
      <c r="Y55" s="61">
        <f>C55-'2. Overall cum progress Sept14'!C55</f>
        <v>0</v>
      </c>
      <c r="Z55" s="61">
        <f>D55-'2. Overall cum progress Sept14'!D55</f>
        <v>4</v>
      </c>
      <c r="AA55" s="61">
        <f>E55-'2. Overall cum progress Sept14'!E55</f>
        <v>10</v>
      </c>
      <c r="AB55" s="61">
        <f>F55-'2. Overall cum progress Sept14'!F55</f>
        <v>0</v>
      </c>
      <c r="AC55" s="61">
        <f>G55-'2. Overall cum progress Sept14'!G55</f>
        <v>32</v>
      </c>
      <c r="AD55" s="61">
        <f>H55-'2. Overall cum progress Sept14'!H55</f>
        <v>18</v>
      </c>
      <c r="AE55" s="61">
        <f>I55-'2. Overall cum progress Sept14'!I55</f>
        <v>1</v>
      </c>
      <c r="AF55" s="61">
        <f>J55-'2. Overall cum progress Sept14'!J55</f>
        <v>9</v>
      </c>
      <c r="AG55" s="61">
        <f>K55-'2. Overall cum progress Sept14'!K55</f>
        <v>14</v>
      </c>
      <c r="AH55" s="61">
        <f>L55-'2. Overall cum progress Sept14'!L55</f>
        <v>4</v>
      </c>
      <c r="AI55" s="61">
        <f>M55-'2. Overall cum progress Sept14'!M55</f>
        <v>92</v>
      </c>
    </row>
    <row r="56" spans="1:35" s="56" customFormat="1">
      <c r="A56" s="359"/>
      <c r="B56" s="309" t="s">
        <v>329</v>
      </c>
      <c r="C56" s="148">
        <v>0</v>
      </c>
      <c r="D56" s="148">
        <f>'[10]2. Overall cum progress Dec)'!D56</f>
        <v>1</v>
      </c>
      <c r="E56" s="148">
        <f>'[5]2. Overall cum progress Dec)'!E56</f>
        <v>0</v>
      </c>
      <c r="F56" s="148">
        <v>11</v>
      </c>
      <c r="G56" s="148">
        <f>'[3]2. Overall cum progress Dec)'!G56</f>
        <v>96</v>
      </c>
      <c r="H56" s="139">
        <f>'[14]2. Overall cum progress Dec)'!H56</f>
        <v>60</v>
      </c>
      <c r="I56" s="310" t="str">
        <f>'[16]2. Overall cum progress Dec)'!I56</f>
        <v>-</v>
      </c>
      <c r="J56" s="148">
        <v>55</v>
      </c>
      <c r="K56" s="148">
        <f>'[7]2. Overall cum progress Dec)'!K56</f>
        <v>38</v>
      </c>
      <c r="L56" s="148">
        <f>'[11]2. Overall cum progress Dec)'!L56</f>
        <v>18</v>
      </c>
      <c r="M56" s="139">
        <f>SUM(C56:L56)</f>
        <v>279</v>
      </c>
      <c r="N56" s="74"/>
      <c r="O56" s="61"/>
      <c r="Y56" s="61">
        <f>C56-'2. Overall cum progress Sept14'!C56</f>
        <v>0</v>
      </c>
      <c r="Z56" s="61">
        <f>D56-'2. Overall cum progress Sept14'!D56</f>
        <v>1</v>
      </c>
      <c r="AA56" s="61">
        <f>E56-'2. Overall cum progress Sept14'!E56</f>
        <v>0</v>
      </c>
      <c r="AB56" s="61">
        <f>F56-'2. Overall cum progress Sept14'!F56</f>
        <v>11</v>
      </c>
      <c r="AC56" s="61">
        <f>G56-'2. Overall cum progress Sept14'!G56</f>
        <v>96</v>
      </c>
      <c r="AD56" s="61">
        <f>H56-'2. Overall cum progress Sept14'!H56</f>
        <v>60</v>
      </c>
      <c r="AE56" s="61" t="e">
        <f>I56-'2. Overall cum progress Sept14'!I56</f>
        <v>#VALUE!</v>
      </c>
      <c r="AF56" s="61">
        <f>J56-'2. Overall cum progress Sept14'!J56</f>
        <v>55</v>
      </c>
      <c r="AG56" s="61">
        <f>K56-'2. Overall cum progress Sept14'!K56</f>
        <v>38</v>
      </c>
      <c r="AH56" s="61">
        <f>L56-'2. Overall cum progress Sept14'!L56</f>
        <v>18</v>
      </c>
      <c r="AI56" s="61">
        <f>M56-'2. Overall cum progress Sept14'!M56</f>
        <v>279</v>
      </c>
    </row>
    <row r="57" spans="1:35" s="56" customFormat="1">
      <c r="A57" s="359"/>
      <c r="B57" s="309" t="s">
        <v>330</v>
      </c>
      <c r="C57" s="148">
        <v>0</v>
      </c>
      <c r="D57" s="148">
        <f>'[10]2. Overall cum progress Dec)'!D57</f>
        <v>0</v>
      </c>
      <c r="E57" s="148">
        <v>3</v>
      </c>
      <c r="F57" s="148">
        <v>2</v>
      </c>
      <c r="G57" s="148">
        <f>'[3]2. Overall cum progress Dec)'!G57</f>
        <v>5</v>
      </c>
      <c r="H57" s="139">
        <f>'[14]2. Overall cum progress Dec)'!H57</f>
        <v>2</v>
      </c>
      <c r="I57" s="310">
        <f>'[16]2. Overall cum progress Dec)'!I57</f>
        <v>1</v>
      </c>
      <c r="J57" s="148">
        <v>10</v>
      </c>
      <c r="K57" s="148">
        <f>'[7]2. Overall cum progress Dec)'!K57</f>
        <v>7</v>
      </c>
      <c r="L57" s="148">
        <f>'[11]2. Overall cum progress Dec)'!L57</f>
        <v>0</v>
      </c>
      <c r="M57" s="139">
        <f>SUM(C57:L57)</f>
        <v>30</v>
      </c>
      <c r="N57" s="74"/>
      <c r="O57" s="61"/>
      <c r="Y57" s="61">
        <f>C57-'2. Overall cum progress Sept14'!C57</f>
        <v>0</v>
      </c>
      <c r="Z57" s="61">
        <f>D57-'2. Overall cum progress Sept14'!D57</f>
        <v>0</v>
      </c>
      <c r="AA57" s="61">
        <f>E57-'2. Overall cum progress Sept14'!E57</f>
        <v>3</v>
      </c>
      <c r="AB57" s="61">
        <f>F57-'2. Overall cum progress Sept14'!F57</f>
        <v>2</v>
      </c>
      <c r="AC57" s="61">
        <f>G57-'2. Overall cum progress Sept14'!G57</f>
        <v>5</v>
      </c>
      <c r="AD57" s="61">
        <f>H57-'2. Overall cum progress Sept14'!H57</f>
        <v>2</v>
      </c>
      <c r="AE57" s="61">
        <f>I57-'2. Overall cum progress Sept14'!I57</f>
        <v>1</v>
      </c>
      <c r="AF57" s="61">
        <f>J57-'2. Overall cum progress Sept14'!J57</f>
        <v>10</v>
      </c>
      <c r="AG57" s="61">
        <f>K57-'2. Overall cum progress Sept14'!K57</f>
        <v>7</v>
      </c>
      <c r="AH57" s="61">
        <f>L57-'2. Overall cum progress Sept14'!L57</f>
        <v>0</v>
      </c>
      <c r="AI57" s="61">
        <f>M57-'2. Overall cum progress Sept14'!M57</f>
        <v>30</v>
      </c>
    </row>
    <row r="58" spans="1:35" s="56" customFormat="1">
      <c r="A58" s="359"/>
      <c r="B58" s="59" t="s">
        <v>231</v>
      </c>
      <c r="C58" s="140">
        <v>0</v>
      </c>
      <c r="D58" s="140">
        <f t="shared" ref="D58:M58" si="19">SUM(D53:D57)</f>
        <v>9</v>
      </c>
      <c r="E58" s="140">
        <f t="shared" si="19"/>
        <v>14</v>
      </c>
      <c r="F58" s="140">
        <f t="shared" si="19"/>
        <v>15</v>
      </c>
      <c r="G58" s="140">
        <f t="shared" si="19"/>
        <v>143</v>
      </c>
      <c r="H58" s="140">
        <f t="shared" si="19"/>
        <v>84</v>
      </c>
      <c r="I58" s="140">
        <f t="shared" si="19"/>
        <v>7</v>
      </c>
      <c r="J58" s="140">
        <f t="shared" si="19"/>
        <v>75</v>
      </c>
      <c r="K58" s="140">
        <f t="shared" si="19"/>
        <v>66</v>
      </c>
      <c r="L58" s="140">
        <f t="shared" si="19"/>
        <v>23</v>
      </c>
      <c r="M58" s="140">
        <f t="shared" si="19"/>
        <v>436</v>
      </c>
      <c r="N58" s="74"/>
      <c r="O58" s="61"/>
      <c r="Y58" s="61">
        <f>C58-'2. Overall cum progress Sept14'!C58</f>
        <v>0</v>
      </c>
      <c r="Z58" s="61">
        <f>D58-'2. Overall cum progress Sept14'!D58</f>
        <v>9</v>
      </c>
      <c r="AA58" s="61">
        <f>E58-'2. Overall cum progress Sept14'!E58</f>
        <v>14</v>
      </c>
      <c r="AB58" s="61">
        <f>F58-'2. Overall cum progress Sept14'!F58</f>
        <v>15</v>
      </c>
      <c r="AC58" s="61">
        <f>G58-'2. Overall cum progress Sept14'!G58</f>
        <v>143</v>
      </c>
      <c r="AD58" s="61">
        <f>H58-'2. Overall cum progress Sept14'!H58</f>
        <v>84</v>
      </c>
      <c r="AE58" s="61">
        <f>I58-'2. Overall cum progress Sept14'!I58</f>
        <v>7</v>
      </c>
      <c r="AF58" s="61">
        <f>J58-'2. Overall cum progress Sept14'!J58</f>
        <v>75</v>
      </c>
      <c r="AG58" s="61">
        <f>K58-'2. Overall cum progress Sept14'!K58</f>
        <v>66</v>
      </c>
      <c r="AH58" s="61">
        <f>L58-'2. Overall cum progress Sept14'!L58</f>
        <v>23</v>
      </c>
      <c r="AI58" s="61">
        <f>M58-'2. Overall cum progress Sept14'!M58</f>
        <v>436</v>
      </c>
    </row>
    <row r="59" spans="1:35" s="56" customFormat="1">
      <c r="A59" s="360" t="s">
        <v>334</v>
      </c>
      <c r="B59" s="309" t="s">
        <v>335</v>
      </c>
      <c r="C59" s="148">
        <v>0</v>
      </c>
      <c r="D59" s="148">
        <f>'[10]2. Overall cum progress Dec)'!D59</f>
        <v>188</v>
      </c>
      <c r="E59" s="148">
        <f>'[5]2. Overall cum progress Dec)'!E59</f>
        <v>281</v>
      </c>
      <c r="F59" s="148">
        <f>'[2]2. Overall cum progress Dec)'!F59</f>
        <v>48</v>
      </c>
      <c r="G59" s="148">
        <f>'[3]2. Overall cum progress Dec)'!G59</f>
        <v>626</v>
      </c>
      <c r="H59" s="139">
        <f>'[14]2. Overall cum progress Dec)'!H59</f>
        <v>151</v>
      </c>
      <c r="I59" s="310">
        <f>'[16]2. Overall cum progress Dec)'!I59</f>
        <v>30</v>
      </c>
      <c r="J59" s="148">
        <f>'[13]2. Overall cum progress Dec)'!J59</f>
        <v>358</v>
      </c>
      <c r="K59" s="148">
        <f>'[7]2. Overall cum progress Dec)'!K59</f>
        <v>483</v>
      </c>
      <c r="L59" s="148">
        <f>'[11]2. Overall cum progress Dec)'!L59</f>
        <v>89</v>
      </c>
      <c r="M59" s="139">
        <f>SUM(C59:L59)</f>
        <v>2254</v>
      </c>
      <c r="N59" s="74"/>
      <c r="O59" s="61"/>
      <c r="Y59" s="61">
        <f>C59-'2. Overall cum progress Sept14'!C59</f>
        <v>0</v>
      </c>
      <c r="Z59" s="61">
        <f>D59-'2. Overall cum progress Sept14'!D59</f>
        <v>188</v>
      </c>
      <c r="AA59" s="61">
        <f>E59-'2. Overall cum progress Sept14'!E59</f>
        <v>281</v>
      </c>
      <c r="AB59" s="61">
        <f>F59-'2. Overall cum progress Sept14'!F59</f>
        <v>48</v>
      </c>
      <c r="AC59" s="61">
        <f>G59-'2. Overall cum progress Sept14'!G59</f>
        <v>626</v>
      </c>
      <c r="AD59" s="61">
        <f>H59-'2. Overall cum progress Sept14'!H59</f>
        <v>151</v>
      </c>
      <c r="AE59" s="61">
        <f>I59-'2. Overall cum progress Sept14'!I59</f>
        <v>30</v>
      </c>
      <c r="AF59" s="61">
        <f>J59-'2. Overall cum progress Sept14'!J59</f>
        <v>358</v>
      </c>
      <c r="AG59" s="61">
        <f>K59-'2. Overall cum progress Sept14'!K59</f>
        <v>483</v>
      </c>
      <c r="AH59" s="61">
        <f>L59-'2. Overall cum progress Sept14'!L59</f>
        <v>89</v>
      </c>
      <c r="AI59" s="61">
        <f>M59-'2. Overall cum progress Sept14'!M59</f>
        <v>2254</v>
      </c>
    </row>
    <row r="60" spans="1:35" s="56" customFormat="1">
      <c r="A60" s="360"/>
      <c r="B60" s="309" t="s">
        <v>336</v>
      </c>
      <c r="C60" s="148">
        <v>0</v>
      </c>
      <c r="D60" s="148">
        <f>'[10]2. Overall cum progress Dec)'!D60</f>
        <v>39</v>
      </c>
      <c r="E60" s="148">
        <f>'[5]2. Overall cum progress Dec)'!E60</f>
        <v>25</v>
      </c>
      <c r="F60" s="148">
        <f>'[2]2. Overall cum progress Dec)'!F60</f>
        <v>29</v>
      </c>
      <c r="G60" s="148">
        <f>'[3]2. Overall cum progress Dec)'!G60</f>
        <v>191</v>
      </c>
      <c r="H60" s="139">
        <f>'[14]2. Overall cum progress Dec)'!H60</f>
        <v>69</v>
      </c>
      <c r="I60" s="310" t="str">
        <f>'[16]2. Overall cum progress Dec)'!I60</f>
        <v>-</v>
      </c>
      <c r="J60" s="148">
        <f>'[13]2. Overall cum progress Dec)'!J60</f>
        <v>68</v>
      </c>
      <c r="K60" s="148">
        <f>'[7]2. Overall cum progress Dec)'!K60</f>
        <v>103</v>
      </c>
      <c r="L60" s="148">
        <f>'[11]2. Overall cum progress Dec)'!L60</f>
        <v>13</v>
      </c>
      <c r="M60" s="139">
        <f>SUM(C60:L60)</f>
        <v>537</v>
      </c>
      <c r="N60" s="74"/>
      <c r="O60" s="61"/>
      <c r="Y60" s="61">
        <f>C60-'2. Overall cum progress Sept14'!C60</f>
        <v>0</v>
      </c>
      <c r="Z60" s="61">
        <f>D60-'2. Overall cum progress Sept14'!D60</f>
        <v>39</v>
      </c>
      <c r="AA60" s="61">
        <f>E60-'2. Overall cum progress Sept14'!E60</f>
        <v>25</v>
      </c>
      <c r="AB60" s="61">
        <f>F60-'2. Overall cum progress Sept14'!F60</f>
        <v>29</v>
      </c>
      <c r="AC60" s="61">
        <f>G60-'2. Overall cum progress Sept14'!G60</f>
        <v>191</v>
      </c>
      <c r="AD60" s="61">
        <f>H60-'2. Overall cum progress Sept14'!H60</f>
        <v>69</v>
      </c>
      <c r="AE60" s="61" t="e">
        <f>I60-'2. Overall cum progress Sept14'!I60</f>
        <v>#VALUE!</v>
      </c>
      <c r="AF60" s="61">
        <f>J60-'2. Overall cum progress Sept14'!J60</f>
        <v>68</v>
      </c>
      <c r="AG60" s="61">
        <f>K60-'2. Overall cum progress Sept14'!K60</f>
        <v>103</v>
      </c>
      <c r="AH60" s="61">
        <f>L60-'2. Overall cum progress Sept14'!L60</f>
        <v>13</v>
      </c>
      <c r="AI60" s="61">
        <f>M60-'2. Overall cum progress Sept14'!M60</f>
        <v>537</v>
      </c>
    </row>
    <row r="61" spans="1:35" s="56" customFormat="1">
      <c r="A61" s="360"/>
      <c r="B61" s="59" t="s">
        <v>16</v>
      </c>
      <c r="C61" s="140">
        <v>0</v>
      </c>
      <c r="D61" s="140">
        <f t="shared" ref="D61:M61" si="20">SUM(D59:D60)</f>
        <v>227</v>
      </c>
      <c r="E61" s="140">
        <f t="shared" si="20"/>
        <v>306</v>
      </c>
      <c r="F61" s="140">
        <f t="shared" si="20"/>
        <v>77</v>
      </c>
      <c r="G61" s="203">
        <f t="shared" si="20"/>
        <v>817</v>
      </c>
      <c r="H61" s="140">
        <f t="shared" si="20"/>
        <v>220</v>
      </c>
      <c r="I61" s="140">
        <f t="shared" si="20"/>
        <v>30</v>
      </c>
      <c r="J61" s="140">
        <f t="shared" si="20"/>
        <v>426</v>
      </c>
      <c r="K61" s="140">
        <f t="shared" si="20"/>
        <v>586</v>
      </c>
      <c r="L61" s="140">
        <f t="shared" si="20"/>
        <v>102</v>
      </c>
      <c r="M61" s="140">
        <f t="shared" si="20"/>
        <v>2791</v>
      </c>
      <c r="N61" s="74"/>
      <c r="O61" s="61"/>
      <c r="Y61" s="61">
        <f>C61-'2. Overall cum progress Sept14'!C61</f>
        <v>0</v>
      </c>
      <c r="Z61" s="61">
        <f>D61-'2. Overall cum progress Sept14'!D61</f>
        <v>227</v>
      </c>
      <c r="AA61" s="61">
        <f>E61-'2. Overall cum progress Sept14'!E61</f>
        <v>306</v>
      </c>
      <c r="AB61" s="61">
        <f>F61-'2. Overall cum progress Sept14'!F61</f>
        <v>77</v>
      </c>
      <c r="AC61" s="61">
        <f>G61-'2. Overall cum progress Sept14'!G61</f>
        <v>817</v>
      </c>
      <c r="AD61" s="61">
        <f>H61-'2. Overall cum progress Sept14'!H61</f>
        <v>220</v>
      </c>
      <c r="AE61" s="61">
        <f>I61-'2. Overall cum progress Sept14'!I61</f>
        <v>30</v>
      </c>
      <c r="AF61" s="61">
        <f>J61-'2. Overall cum progress Sept14'!J61</f>
        <v>426</v>
      </c>
      <c r="AG61" s="61">
        <f>K61-'2. Overall cum progress Sept14'!K61</f>
        <v>586</v>
      </c>
      <c r="AH61" s="61">
        <f>L61-'2. Overall cum progress Sept14'!L61</f>
        <v>102</v>
      </c>
      <c r="AI61" s="61">
        <f>M61-'2. Overall cum progress Sept14'!M61</f>
        <v>2791</v>
      </c>
    </row>
    <row r="62" spans="1:35">
      <c r="A62" s="67" t="s">
        <v>344</v>
      </c>
      <c r="E62" s="305"/>
      <c r="G62" s="115"/>
      <c r="H62" s="104"/>
      <c r="I62" s="306"/>
      <c r="K62" s="307"/>
      <c r="L62" s="308"/>
      <c r="Y62" s="61">
        <f>C62-'2. Overall cum progress Sept14'!C62</f>
        <v>0</v>
      </c>
      <c r="Z62" s="61">
        <f>D62-'2. Overall cum progress Sept14'!D62</f>
        <v>0</v>
      </c>
      <c r="AA62" s="61">
        <f>E62-'2. Overall cum progress Sept14'!E62</f>
        <v>0</v>
      </c>
      <c r="AB62" s="61">
        <f>F62-'2. Overall cum progress Sept14'!F62</f>
        <v>0</v>
      </c>
      <c r="AC62" s="61">
        <f>G62-'2. Overall cum progress Sept14'!G62</f>
        <v>0</v>
      </c>
      <c r="AD62" s="61">
        <f>H62-'2. Overall cum progress Sept14'!H62</f>
        <v>0</v>
      </c>
      <c r="AE62" s="61">
        <f>I62-'2. Overall cum progress Sept14'!I62</f>
        <v>0</v>
      </c>
      <c r="AF62" s="61">
        <f>J62-'2. Overall cum progress Sept14'!J62</f>
        <v>0</v>
      </c>
      <c r="AG62" s="61">
        <f>K62-'2. Overall cum progress Sept14'!K62</f>
        <v>0</v>
      </c>
      <c r="AH62" s="61">
        <f>L62-'2. Overall cum progress Sept14'!L62</f>
        <v>0</v>
      </c>
      <c r="AI62" s="61">
        <f>M62-'2. Overall cum progress Sept14'!M62</f>
        <v>0</v>
      </c>
    </row>
    <row r="63" spans="1:35">
      <c r="A63" s="67" t="s">
        <v>345</v>
      </c>
      <c r="E63" s="87"/>
      <c r="G63" s="67"/>
      <c r="H63" s="104"/>
      <c r="Y63" s="61">
        <f>C63-'2. Overall cum progress Sept14'!C63</f>
        <v>0</v>
      </c>
      <c r="Z63" s="61">
        <f>D63-'2. Overall cum progress Sept14'!D63</f>
        <v>0</v>
      </c>
      <c r="AA63" s="61">
        <f>E63-'2. Overall cum progress Sept14'!E63</f>
        <v>0</v>
      </c>
      <c r="AB63" s="61">
        <f>F63-'2. Overall cum progress Sept14'!F63</f>
        <v>0</v>
      </c>
      <c r="AC63" s="61">
        <f>G63-'2. Overall cum progress Sept14'!G63</f>
        <v>0</v>
      </c>
      <c r="AD63" s="61">
        <f>H63-'2. Overall cum progress Sept14'!H63</f>
        <v>0</v>
      </c>
      <c r="AE63" s="61">
        <f>I63-'2. Overall cum progress Sept14'!I63</f>
        <v>0</v>
      </c>
      <c r="AF63" s="61">
        <f>J63-'2. Overall cum progress Sept14'!J63</f>
        <v>0</v>
      </c>
      <c r="AG63" s="61">
        <f>K63-'2. Overall cum progress Sept14'!K63</f>
        <v>0</v>
      </c>
      <c r="AH63" s="61">
        <f>L63-'2. Overall cum progress Sept14'!L63</f>
        <v>0</v>
      </c>
      <c r="AI63" s="61">
        <f>M63-'2. Overall cum progress Sept14'!M63</f>
        <v>0</v>
      </c>
    </row>
    <row r="64" spans="1:35">
      <c r="A64" s="198" t="s">
        <v>270</v>
      </c>
      <c r="E64" s="87"/>
      <c r="Y64" s="61">
        <f>C64-'2. Overall cum progress Sept14'!C64</f>
        <v>0</v>
      </c>
      <c r="Z64" s="61">
        <f>D64-'2. Overall cum progress Sept14'!D64</f>
        <v>0</v>
      </c>
      <c r="AA64" s="61">
        <f>E64-'2. Overall cum progress Sept14'!E64</f>
        <v>0</v>
      </c>
      <c r="AB64" s="61">
        <f>F64-'2. Overall cum progress Sept14'!F64</f>
        <v>0</v>
      </c>
      <c r="AC64" s="61">
        <f>G64-'2. Overall cum progress Sept14'!G64</f>
        <v>0</v>
      </c>
      <c r="AD64" s="61">
        <f>H64-'2. Overall cum progress Sept14'!H64</f>
        <v>0</v>
      </c>
      <c r="AE64" s="61">
        <f>I64-'2. Overall cum progress Sept14'!I64</f>
        <v>0</v>
      </c>
      <c r="AF64" s="61">
        <f>J64-'2. Overall cum progress Sept14'!J64</f>
        <v>0</v>
      </c>
      <c r="AG64" s="61">
        <f>K64-'2. Overall cum progress Sept14'!K64</f>
        <v>0</v>
      </c>
      <c r="AH64" s="61">
        <f>L64-'2. Overall cum progress Sept14'!L64</f>
        <v>0</v>
      </c>
      <c r="AI64" s="61">
        <f>M64-'2. Overall cum progress Sept14'!M64</f>
        <v>0</v>
      </c>
    </row>
    <row r="65" spans="5:35">
      <c r="E65" s="87"/>
      <c r="Y65" s="61">
        <f>C65-'2. Overall cum progress Sept14'!C65</f>
        <v>0</v>
      </c>
      <c r="Z65" s="61">
        <f>D65-'2. Overall cum progress Sept14'!D65</f>
        <v>0</v>
      </c>
      <c r="AA65" s="61">
        <f>E65-'2. Overall cum progress Sept14'!E65</f>
        <v>0</v>
      </c>
      <c r="AB65" s="61">
        <f>F65-'2. Overall cum progress Sept14'!F65</f>
        <v>0</v>
      </c>
      <c r="AC65" s="61">
        <f>G65-'2. Overall cum progress Sept14'!G65</f>
        <v>0</v>
      </c>
      <c r="AD65" s="61">
        <f>H65-'2. Overall cum progress Sept14'!H65</f>
        <v>0</v>
      </c>
      <c r="AE65" s="61">
        <f>I65-'2. Overall cum progress Sept14'!I65</f>
        <v>0</v>
      </c>
      <c r="AF65" s="61">
        <f>J65-'2. Overall cum progress Sept14'!J65</f>
        <v>0</v>
      </c>
      <c r="AG65" s="61">
        <f>K65-'2. Overall cum progress Sept14'!K65</f>
        <v>0</v>
      </c>
      <c r="AH65" s="61">
        <f>L65-'2. Overall cum progress Sept14'!L65</f>
        <v>0</v>
      </c>
      <c r="AI65" s="61">
        <f>M65-'2. Overall cum progress Sept14'!M65</f>
        <v>0</v>
      </c>
    </row>
    <row r="66" spans="5:35">
      <c r="E66" s="139"/>
    </row>
  </sheetData>
  <mergeCells count="26">
    <mergeCell ref="A8:A11"/>
    <mergeCell ref="A2:B2"/>
    <mergeCell ref="A4:B4"/>
    <mergeCell ref="A5:B5"/>
    <mergeCell ref="A6:B6"/>
    <mergeCell ref="A7:B7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53:A58"/>
    <mergeCell ref="A59:A61"/>
    <mergeCell ref="A41:B41"/>
    <mergeCell ref="A42:B42"/>
    <mergeCell ref="A43:B43"/>
    <mergeCell ref="A44:A46"/>
    <mergeCell ref="A47:A49"/>
    <mergeCell ref="A50:A52"/>
  </mergeCells>
  <printOptions horizontalCentered="1" verticalCentered="1"/>
  <pageMargins left="0.2" right="0.21" top="0.2" bottom="0.16" header="0.17" footer="0.16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J6" sqref="J6"/>
    </sheetView>
  </sheetViews>
  <sheetFormatPr defaultRowHeight="12.75"/>
  <cols>
    <col min="1" max="1" width="30" style="67" customWidth="1"/>
    <col min="2" max="2" width="21.7109375" style="67" customWidth="1"/>
    <col min="3" max="3" width="9.7109375" style="67" customWidth="1"/>
    <col min="4" max="4" width="10.7109375" style="53" customWidth="1"/>
    <col min="5" max="5" width="10.7109375" style="142" bestFit="1" customWidth="1"/>
    <col min="6" max="6" width="12.7109375" style="53" customWidth="1"/>
    <col min="7" max="7" width="12.140625" style="53" bestFit="1" customWidth="1"/>
    <col min="8" max="8" width="14.7109375" style="53" customWidth="1"/>
    <col min="9" max="9" width="9.7109375" style="53" customWidth="1"/>
    <col min="10" max="10" width="10.7109375" style="53" customWidth="1"/>
    <col min="11" max="11" width="12.140625" style="53" bestFit="1" customWidth="1"/>
    <col min="12" max="12" width="10.7109375" style="53" bestFit="1" customWidth="1"/>
    <col min="13" max="13" width="12.140625" style="53" bestFit="1" customWidth="1"/>
    <col min="14" max="14" width="10" style="53" bestFit="1" customWidth="1"/>
    <col min="15" max="15" width="13.140625" style="53" bestFit="1" customWidth="1"/>
    <col min="16" max="16" width="12.42578125" style="53" bestFit="1" customWidth="1"/>
    <col min="17" max="17" width="9.140625" style="53"/>
    <col min="18" max="19" width="10.85546875" style="53" bestFit="1" customWidth="1"/>
    <col min="20" max="24" width="9.140625" style="53"/>
    <col min="25" max="26" width="9.28515625" style="53" bestFit="1" customWidth="1"/>
    <col min="27" max="28" width="9.85546875" style="53" bestFit="1" customWidth="1"/>
    <col min="29" max="29" width="12.42578125" style="53" bestFit="1" customWidth="1"/>
    <col min="30" max="30" width="10.85546875" style="53" bestFit="1" customWidth="1"/>
    <col min="31" max="31" width="9.28515625" style="53" bestFit="1" customWidth="1"/>
    <col min="32" max="32" width="12.42578125" style="53" bestFit="1" customWidth="1"/>
    <col min="33" max="34" width="10.85546875" style="53" bestFit="1" customWidth="1"/>
    <col min="35" max="35" width="12.42578125" style="53" bestFit="1" customWidth="1"/>
    <col min="36" max="36" width="9.140625" style="53"/>
    <col min="37" max="37" width="10.85546875" style="53" bestFit="1" customWidth="1"/>
    <col min="38" max="16384" width="9.140625" style="53"/>
  </cols>
  <sheetData>
    <row r="1" spans="1:35" ht="13.5" thickBot="1">
      <c r="A1" s="293" t="s">
        <v>324</v>
      </c>
      <c r="B1" s="294"/>
      <c r="C1" s="294"/>
      <c r="D1" s="295"/>
      <c r="E1" s="296"/>
      <c r="F1" s="295"/>
      <c r="G1" s="297"/>
      <c r="H1" s="297"/>
      <c r="I1" s="295"/>
      <c r="J1" s="295"/>
      <c r="K1" s="295"/>
      <c r="L1" s="295"/>
      <c r="M1" s="294"/>
      <c r="AD1" s="53" t="s">
        <v>321</v>
      </c>
    </row>
    <row r="2" spans="1:35" s="69" customFormat="1" ht="31.5" customHeight="1">
      <c r="A2" s="386" t="s">
        <v>0</v>
      </c>
      <c r="B2" s="387"/>
      <c r="C2" s="260" t="s">
        <v>271</v>
      </c>
      <c r="D2" s="260" t="s">
        <v>2</v>
      </c>
      <c r="E2" s="260" t="s">
        <v>3</v>
      </c>
      <c r="F2" s="260" t="s">
        <v>4</v>
      </c>
      <c r="G2" s="261" t="s">
        <v>5</v>
      </c>
      <c r="H2" s="260" t="s">
        <v>6</v>
      </c>
      <c r="I2" s="260" t="s">
        <v>7</v>
      </c>
      <c r="J2" s="260" t="s">
        <v>8</v>
      </c>
      <c r="K2" s="260" t="s">
        <v>9</v>
      </c>
      <c r="L2" s="260" t="s">
        <v>10</v>
      </c>
      <c r="M2" s="262" t="s">
        <v>16</v>
      </c>
    </row>
    <row r="3" spans="1:35" ht="15.75" customHeight="1">
      <c r="A3" s="263"/>
      <c r="B3" s="264"/>
      <c r="C3" s="264"/>
      <c r="D3" s="265"/>
      <c r="E3" s="265"/>
      <c r="F3" s="265"/>
      <c r="G3" s="265"/>
      <c r="H3" s="265"/>
      <c r="I3" s="265"/>
      <c r="J3" s="265"/>
      <c r="K3" s="265"/>
      <c r="L3" s="265"/>
      <c r="M3" s="265"/>
      <c r="Y3" s="56" t="str">
        <f t="shared" ref="Y3:AI3" si="0">C2</f>
        <v>AJKRSP+</v>
      </c>
      <c r="Z3" s="56" t="str">
        <f t="shared" si="0"/>
        <v>AKRSP</v>
      </c>
      <c r="AA3" s="56" t="str">
        <f t="shared" si="0"/>
        <v>BRSP</v>
      </c>
      <c r="AB3" s="56" t="str">
        <f t="shared" si="0"/>
        <v>GBTI</v>
      </c>
      <c r="AC3" s="56" t="str">
        <f t="shared" si="0"/>
        <v>NRSP</v>
      </c>
      <c r="AD3" s="56" t="str">
        <f t="shared" si="0"/>
        <v>PRSP</v>
      </c>
      <c r="AE3" s="56" t="str">
        <f t="shared" si="0"/>
        <v>SGA</v>
      </c>
      <c r="AF3" s="56" t="str">
        <f t="shared" si="0"/>
        <v>SRSO</v>
      </c>
      <c r="AG3" s="56" t="str">
        <f t="shared" si="0"/>
        <v>SRSP</v>
      </c>
      <c r="AH3" s="56" t="str">
        <f t="shared" si="0"/>
        <v>TRDP</v>
      </c>
      <c r="AI3" s="56" t="str">
        <f t="shared" si="0"/>
        <v xml:space="preserve">Total </v>
      </c>
    </row>
    <row r="4" spans="1:35" s="56" customFormat="1" ht="19.5" customHeight="1">
      <c r="A4" s="388" t="s">
        <v>220</v>
      </c>
      <c r="B4" s="388"/>
      <c r="C4" s="266">
        <v>8</v>
      </c>
      <c r="D4" s="266">
        <v>7</v>
      </c>
      <c r="E4" s="266">
        <v>14</v>
      </c>
      <c r="F4" s="266">
        <v>3</v>
      </c>
      <c r="G4" s="266">
        <v>56</v>
      </c>
      <c r="H4" s="266">
        <v>21</v>
      </c>
      <c r="I4" s="266">
        <v>1</v>
      </c>
      <c r="J4" s="266">
        <v>9</v>
      </c>
      <c r="K4" s="266">
        <v>25</v>
      </c>
      <c r="L4" s="266">
        <v>4</v>
      </c>
      <c r="M4" s="266">
        <v>120</v>
      </c>
      <c r="N4" s="74"/>
      <c r="O4" s="61"/>
      <c r="Y4" s="61">
        <f>C4-'2. Overall cum progress June Rf'!C4</f>
        <v>0</v>
      </c>
      <c r="Z4" s="61">
        <f>D4-'2. Overall cum progress June Rf'!D4</f>
        <v>0</v>
      </c>
      <c r="AA4" s="61">
        <f>E4-'2. Overall cum progress June Rf'!E4</f>
        <v>-1</v>
      </c>
      <c r="AB4" s="61">
        <f>F4-'2. Overall cum progress June Rf'!F4</f>
        <v>0</v>
      </c>
      <c r="AC4" s="61">
        <f>G4-'2. Overall cum progress June Rf'!G4</f>
        <v>-1</v>
      </c>
      <c r="AD4" s="61">
        <f>H4-'2. Overall cum progress June Rf'!H4</f>
        <v>0</v>
      </c>
      <c r="AE4" s="61">
        <f>I4-'2. Overall cum progress June Rf'!I4</f>
        <v>0</v>
      </c>
      <c r="AF4" s="61">
        <f>J4-'2. Overall cum progress June Rf'!J4</f>
        <v>0</v>
      </c>
      <c r="AG4" s="61">
        <f>K4-'2. Overall cum progress June Rf'!K4</f>
        <v>0</v>
      </c>
      <c r="AH4" s="61">
        <f>L4-'2. Overall cum progress June Rf'!L4</f>
        <v>0</v>
      </c>
      <c r="AI4" s="61">
        <f>M4-'2. Overall cum progress June Rf'!M4</f>
        <v>-1</v>
      </c>
    </row>
    <row r="5" spans="1:35" s="56" customFormat="1">
      <c r="A5" s="389" t="s">
        <v>11</v>
      </c>
      <c r="B5" s="388"/>
      <c r="C5" s="266">
        <v>0</v>
      </c>
      <c r="D5" s="267">
        <v>0</v>
      </c>
      <c r="E5" s="267">
        <v>0</v>
      </c>
      <c r="F5" s="267">
        <v>0</v>
      </c>
      <c r="G5" s="267">
        <v>0</v>
      </c>
      <c r="H5" s="267">
        <v>0</v>
      </c>
      <c r="I5" s="267">
        <v>0</v>
      </c>
      <c r="J5" s="267">
        <v>0</v>
      </c>
      <c r="K5" s="267">
        <v>0</v>
      </c>
      <c r="L5" s="267">
        <v>0</v>
      </c>
      <c r="M5" s="266">
        <v>0</v>
      </c>
      <c r="N5" s="74">
        <f>M5-'1.RSP Districts '!E232</f>
        <v>-3648</v>
      </c>
      <c r="O5" s="61"/>
      <c r="Y5" s="61">
        <f>C5-'2. Overall cum progress June Rf'!C5</f>
        <v>-136</v>
      </c>
      <c r="Z5" s="61">
        <f>D5-'2. Overall cum progress June Rf'!D5</f>
        <v>-118</v>
      </c>
      <c r="AA5" s="61">
        <f>E5-'2. Overall cum progress June Rf'!E5</f>
        <v>-206</v>
      </c>
      <c r="AB5" s="61">
        <f>F5-'2. Overall cum progress June Rf'!F5</f>
        <v>-22</v>
      </c>
      <c r="AC5" s="61">
        <f>G5-'2. Overall cum progress June Rf'!G5</f>
        <v>-2109</v>
      </c>
      <c r="AD5" s="61">
        <f>H5-'2. Overall cum progress June Rf'!H5</f>
        <v>-718</v>
      </c>
      <c r="AE5" s="61">
        <f>I5-'2. Overall cum progress June Rf'!I5</f>
        <v>-13</v>
      </c>
      <c r="AF5" s="61">
        <f>J5-'2. Overall cum progress June Rf'!J5</f>
        <v>-342</v>
      </c>
      <c r="AG5" s="61">
        <f>K5-'2. Overall cum progress June Rf'!K5</f>
        <v>-585</v>
      </c>
      <c r="AH5" s="61">
        <f>L5-'2. Overall cum progress June Rf'!L5</f>
        <v>-113</v>
      </c>
      <c r="AI5" s="61">
        <f>M5-'2. Overall cum progress June Rf'!M5</f>
        <v>-3648</v>
      </c>
    </row>
    <row r="6" spans="1:35" s="56" customFormat="1">
      <c r="A6" s="389" t="s">
        <v>286</v>
      </c>
      <c r="B6" s="388"/>
      <c r="C6" s="266">
        <v>0</v>
      </c>
      <c r="D6" s="266">
        <v>0</v>
      </c>
      <c r="E6" s="266">
        <v>0</v>
      </c>
      <c r="F6" s="266">
        <v>0</v>
      </c>
      <c r="G6" s="268">
        <v>0</v>
      </c>
      <c r="H6" s="266">
        <v>0</v>
      </c>
      <c r="I6" s="266">
        <v>0</v>
      </c>
      <c r="J6" s="266">
        <v>0</v>
      </c>
      <c r="K6" s="266">
        <v>0</v>
      </c>
      <c r="L6" s="266">
        <v>0</v>
      </c>
      <c r="M6" s="266">
        <v>0</v>
      </c>
      <c r="N6" s="75">
        <f>M6/1000000</f>
        <v>0</v>
      </c>
      <c r="O6" s="60">
        <f>N6*6.5</f>
        <v>0</v>
      </c>
      <c r="P6" s="56">
        <f>200+90+160+54</f>
        <v>504</v>
      </c>
      <c r="Y6" s="61">
        <f>C6-'2. Overall cum progress June Rf'!C6</f>
        <v>-102320</v>
      </c>
      <c r="Z6" s="61">
        <f>D6-'2. Overall cum progress June Rf'!D6</f>
        <v>-113737</v>
      </c>
      <c r="AA6" s="61">
        <f>E6-'2. Overall cum progress June Rf'!E6</f>
        <v>-205990</v>
      </c>
      <c r="AB6" s="61">
        <f>F6-'2. Overall cum progress June Rf'!F6</f>
        <v>-35396</v>
      </c>
      <c r="AC6" s="61">
        <f>G6-'2. Overall cum progress June Rf'!G6</f>
        <v>-2545927</v>
      </c>
      <c r="AD6" s="61">
        <f>H6-'2. Overall cum progress June Rf'!H6</f>
        <v>-1307686</v>
      </c>
      <c r="AE6" s="61">
        <f>I6-'2. Overall cum progress June Rf'!I6</f>
        <v>-16500</v>
      </c>
      <c r="AF6" s="61">
        <f>J6-'2. Overall cum progress June Rf'!J6</f>
        <v>-594699</v>
      </c>
      <c r="AG6" s="61">
        <f>K6-'2. Overall cum progress June Rf'!K6</f>
        <v>-798909</v>
      </c>
      <c r="AH6" s="61">
        <f>L6-'2. Overall cum progress June Rf'!L6</f>
        <v>-272724</v>
      </c>
      <c r="AI6" s="61">
        <f>M6-'2. Overall cum progress June Rf'!M6</f>
        <v>-5993888</v>
      </c>
    </row>
    <row r="7" spans="1:35" s="56" customFormat="1">
      <c r="A7" s="389" t="s">
        <v>12</v>
      </c>
      <c r="B7" s="388"/>
      <c r="C7" s="269">
        <v>0</v>
      </c>
      <c r="D7" s="269">
        <v>59</v>
      </c>
      <c r="E7" s="269">
        <v>48</v>
      </c>
      <c r="F7" s="269">
        <v>8</v>
      </c>
      <c r="G7" s="269">
        <v>627</v>
      </c>
      <c r="H7" s="266">
        <v>48</v>
      </c>
      <c r="I7" s="270">
        <v>1</v>
      </c>
      <c r="J7" s="269">
        <v>128</v>
      </c>
      <c r="K7" s="269">
        <v>117</v>
      </c>
      <c r="L7" s="269">
        <v>52</v>
      </c>
      <c r="M7" s="266">
        <v>1088</v>
      </c>
      <c r="N7" s="74"/>
      <c r="O7" s="61"/>
      <c r="P7" s="56">
        <f>266298-265794</f>
        <v>504</v>
      </c>
      <c r="Y7" s="61">
        <f>C7-'2. Overall cum progress June Rf'!C7</f>
        <v>0</v>
      </c>
      <c r="Z7" s="61">
        <f>D7-'2. Overall cum progress June Rf'!D7</f>
        <v>0</v>
      </c>
      <c r="AA7" s="61">
        <f>E7-'2. Overall cum progress June Rf'!E7</f>
        <v>2</v>
      </c>
      <c r="AB7" s="61">
        <f>F7-'2. Overall cum progress June Rf'!F7</f>
        <v>0</v>
      </c>
      <c r="AC7" s="61">
        <f>G7-'2. Overall cum progress June Rf'!G7</f>
        <v>-6</v>
      </c>
      <c r="AD7" s="61">
        <f>H7-'2. Overall cum progress June Rf'!H7</f>
        <v>0</v>
      </c>
      <c r="AE7" s="61">
        <f>I7-'2. Overall cum progress June Rf'!I7</f>
        <v>0</v>
      </c>
      <c r="AF7" s="61">
        <f>J7-'2. Overall cum progress June Rf'!J7</f>
        <v>3</v>
      </c>
      <c r="AG7" s="61">
        <f>K7-'2. Overall cum progress June Rf'!K7</f>
        <v>7</v>
      </c>
      <c r="AH7" s="61">
        <f>L7-'2. Overall cum progress June Rf'!L7</f>
        <v>11</v>
      </c>
      <c r="AI7" s="61">
        <f>M7-'2. Overall cum progress June Rf'!M7</f>
        <v>17</v>
      </c>
    </row>
    <row r="8" spans="1:35" s="56" customFormat="1">
      <c r="A8" s="385" t="s">
        <v>287</v>
      </c>
      <c r="B8" s="271" t="s">
        <v>13</v>
      </c>
      <c r="C8" s="266">
        <v>1577</v>
      </c>
      <c r="D8" s="266">
        <v>2171</v>
      </c>
      <c r="E8" s="269">
        <v>3664</v>
      </c>
      <c r="F8" s="269">
        <v>1747</v>
      </c>
      <c r="G8" s="272">
        <v>77650</v>
      </c>
      <c r="H8" s="266">
        <v>31984</v>
      </c>
      <c r="I8" s="270">
        <v>410</v>
      </c>
      <c r="J8" s="269">
        <v>32953</v>
      </c>
      <c r="K8" s="269">
        <v>10619</v>
      </c>
      <c r="L8" s="269">
        <v>8642</v>
      </c>
      <c r="M8" s="266">
        <v>171417</v>
      </c>
      <c r="N8" s="75">
        <f>M8/M11%</f>
        <v>48.385976797357948</v>
      </c>
      <c r="O8" s="61"/>
      <c r="P8" s="56" t="s">
        <v>242</v>
      </c>
      <c r="Y8" s="61">
        <f>C8-'2. Overall cum progress June Rf'!C8</f>
        <v>0</v>
      </c>
      <c r="Z8" s="61">
        <f>D8-'2. Overall cum progress June Rf'!D8</f>
        <v>0</v>
      </c>
      <c r="AA8" s="61">
        <f>E8-'2. Overall cum progress June Rf'!E8</f>
        <v>28</v>
      </c>
      <c r="AB8" s="61">
        <f>F8-'2. Overall cum progress June Rf'!F8</f>
        <v>22</v>
      </c>
      <c r="AC8" s="61">
        <f>G8-'2. Overall cum progress June Rf'!G8</f>
        <v>553</v>
      </c>
      <c r="AD8" s="61">
        <f>H8-'2. Overall cum progress June Rf'!H8</f>
        <v>647</v>
      </c>
      <c r="AE8" s="61">
        <f>I8-'2. Overall cum progress June Rf'!I8</f>
        <v>0</v>
      </c>
      <c r="AF8" s="61">
        <f>J8-'2. Overall cum progress June Rf'!J8</f>
        <v>71</v>
      </c>
      <c r="AG8" s="61">
        <f>K8-'2. Overall cum progress June Rf'!K8</f>
        <v>433</v>
      </c>
      <c r="AH8" s="61">
        <f>L8-'2. Overall cum progress June Rf'!L8</f>
        <v>0</v>
      </c>
      <c r="AI8" s="61">
        <f>M8-'2. Overall cum progress June Rf'!M8</f>
        <v>1754</v>
      </c>
    </row>
    <row r="9" spans="1:35" s="56" customFormat="1">
      <c r="A9" s="385"/>
      <c r="B9" s="273" t="s">
        <v>14</v>
      </c>
      <c r="C9" s="266">
        <v>2138</v>
      </c>
      <c r="D9" s="266">
        <v>2893</v>
      </c>
      <c r="E9" s="269">
        <v>8435</v>
      </c>
      <c r="F9" s="269">
        <v>1420</v>
      </c>
      <c r="G9" s="272">
        <v>76230</v>
      </c>
      <c r="H9" s="266">
        <v>44524</v>
      </c>
      <c r="I9" s="270">
        <v>450</v>
      </c>
      <c r="J9" s="269">
        <v>4159</v>
      </c>
      <c r="K9" s="269">
        <v>22067</v>
      </c>
      <c r="L9" s="269">
        <v>5833</v>
      </c>
      <c r="M9" s="266">
        <v>168149</v>
      </c>
      <c r="N9" s="74"/>
      <c r="O9" s="61"/>
      <c r="P9" s="56">
        <v>19</v>
      </c>
      <c r="Q9" s="56">
        <f>P9*18</f>
        <v>342</v>
      </c>
      <c r="Y9" s="61">
        <f>C9-'2. Overall cum progress June Rf'!C9</f>
        <v>0</v>
      </c>
      <c r="Z9" s="61">
        <f>D9-'2. Overall cum progress June Rf'!D9</f>
        <v>0</v>
      </c>
      <c r="AA9" s="61">
        <f>E9-'2. Overall cum progress June Rf'!E9</f>
        <v>125</v>
      </c>
      <c r="AB9" s="61">
        <f>F9-'2. Overall cum progress June Rf'!F9</f>
        <v>0</v>
      </c>
      <c r="AC9" s="61">
        <f>G9-'2. Overall cum progress June Rf'!G9</f>
        <v>639</v>
      </c>
      <c r="AD9" s="61">
        <f>H9-'2. Overall cum progress June Rf'!H9</f>
        <v>658</v>
      </c>
      <c r="AE9" s="61">
        <f>I9-'2. Overall cum progress June Rf'!I9</f>
        <v>0</v>
      </c>
      <c r="AF9" s="61">
        <f>J9-'2. Overall cum progress June Rf'!J9</f>
        <v>0</v>
      </c>
      <c r="AG9" s="61">
        <f>K9-'2. Overall cum progress June Rf'!K9</f>
        <v>433</v>
      </c>
      <c r="AH9" s="61">
        <f>L9-'2. Overall cum progress June Rf'!L9</f>
        <v>0</v>
      </c>
      <c r="AI9" s="61">
        <f>M9-'2. Overall cum progress June Rf'!M9</f>
        <v>1855</v>
      </c>
    </row>
    <row r="10" spans="1:35" s="56" customFormat="1">
      <c r="A10" s="385"/>
      <c r="B10" s="273" t="s">
        <v>15</v>
      </c>
      <c r="C10" s="266">
        <v>1035</v>
      </c>
      <c r="D10" s="266">
        <v>0</v>
      </c>
      <c r="E10" s="269"/>
      <c r="F10" s="269">
        <v>0</v>
      </c>
      <c r="G10" s="272">
        <v>11645</v>
      </c>
      <c r="H10" s="266">
        <v>0</v>
      </c>
      <c r="I10" s="270">
        <v>0</v>
      </c>
      <c r="J10" s="269">
        <v>40</v>
      </c>
      <c r="K10" s="269">
        <v>0</v>
      </c>
      <c r="L10" s="269">
        <v>1984</v>
      </c>
      <c r="M10" s="266">
        <v>14704</v>
      </c>
      <c r="N10" s="74" t="e">
        <f>(M11-N11)/N11%</f>
        <v>#DIV/0!</v>
      </c>
      <c r="O10" s="61"/>
      <c r="P10" s="56">
        <v>6</v>
      </c>
      <c r="Q10" s="56">
        <v>120</v>
      </c>
      <c r="Y10" s="61">
        <f>C10-'2. Overall cum progress June Rf'!C10</f>
        <v>0</v>
      </c>
      <c r="Z10" s="61">
        <f>D10-'2. Overall cum progress June Rf'!D10</f>
        <v>0</v>
      </c>
      <c r="AA10" s="61">
        <f>E10-'2. Overall cum progress June Rf'!E10</f>
        <v>-54</v>
      </c>
      <c r="AB10" s="61">
        <f>F10-'2. Overall cum progress June Rf'!F10</f>
        <v>0</v>
      </c>
      <c r="AC10" s="61">
        <f>G10-'2. Overall cum progress June Rf'!G10</f>
        <v>837</v>
      </c>
      <c r="AD10" s="61">
        <f>H10-'2. Overall cum progress June Rf'!H10</f>
        <v>0</v>
      </c>
      <c r="AE10" s="61">
        <f>I10-'2. Overall cum progress June Rf'!I10</f>
        <v>0</v>
      </c>
      <c r="AF10" s="61">
        <f>J10-'2. Overall cum progress June Rf'!J10</f>
        <v>0</v>
      </c>
      <c r="AG10" s="61">
        <f>K10-'2. Overall cum progress June Rf'!K10</f>
        <v>-102</v>
      </c>
      <c r="AH10" s="61">
        <f>L10-'2. Overall cum progress June Rf'!L10</f>
        <v>13</v>
      </c>
      <c r="AI10" s="61">
        <f>M10-'2. Overall cum progress June Rf'!M10</f>
        <v>694</v>
      </c>
    </row>
    <row r="11" spans="1:35" s="56" customFormat="1">
      <c r="A11" s="385"/>
      <c r="B11" s="274" t="s">
        <v>16</v>
      </c>
      <c r="C11" s="275">
        <v>4750</v>
      </c>
      <c r="D11" s="275">
        <v>5064</v>
      </c>
      <c r="E11" s="275">
        <v>12099</v>
      </c>
      <c r="F11" s="275">
        <v>3167</v>
      </c>
      <c r="G11" s="276">
        <v>165525</v>
      </c>
      <c r="H11" s="275">
        <v>76508</v>
      </c>
      <c r="I11" s="275">
        <v>860</v>
      </c>
      <c r="J11" s="275">
        <v>37152</v>
      </c>
      <c r="K11" s="266">
        <v>32686</v>
      </c>
      <c r="L11" s="277">
        <v>16459</v>
      </c>
      <c r="M11" s="275">
        <v>354270</v>
      </c>
      <c r="N11" s="74"/>
      <c r="O11" s="61">
        <f>L11-16178</f>
        <v>281</v>
      </c>
      <c r="P11" s="56">
        <v>2</v>
      </c>
      <c r="Q11" s="56">
        <v>40</v>
      </c>
      <c r="Y11" s="61">
        <f>C11-'2. Overall cum progress June Rf'!C11</f>
        <v>0</v>
      </c>
      <c r="Z11" s="61">
        <f>D11-'2. Overall cum progress June Rf'!D11</f>
        <v>0</v>
      </c>
      <c r="AA11" s="61">
        <f>E11-'2. Overall cum progress June Rf'!E11</f>
        <v>99</v>
      </c>
      <c r="AB11" s="61">
        <f>F11-'2. Overall cum progress June Rf'!F11</f>
        <v>22</v>
      </c>
      <c r="AC11" s="61">
        <f>G11-'2. Overall cum progress June Rf'!G11</f>
        <v>2029</v>
      </c>
      <c r="AD11" s="61">
        <f>H11-'2. Overall cum progress June Rf'!H11</f>
        <v>1305</v>
      </c>
      <c r="AE11" s="61">
        <f>I11-'2. Overall cum progress June Rf'!I11</f>
        <v>0</v>
      </c>
      <c r="AF11" s="61">
        <f>J11-'2. Overall cum progress June Rf'!J11</f>
        <v>71</v>
      </c>
      <c r="AG11" s="61">
        <f>K11-'2. Overall cum progress June Rf'!K11</f>
        <v>764</v>
      </c>
      <c r="AH11" s="61">
        <f>L11-'2. Overall cum progress June Rf'!L11</f>
        <v>13</v>
      </c>
      <c r="AI11" s="61">
        <f>M11-'2. Overall cum progress June Rf'!M11</f>
        <v>4303</v>
      </c>
    </row>
    <row r="12" spans="1:35" s="56" customFormat="1">
      <c r="A12" s="390" t="s">
        <v>302</v>
      </c>
      <c r="B12" s="271" t="s">
        <v>17</v>
      </c>
      <c r="C12" s="266">
        <v>44063</v>
      </c>
      <c r="D12" s="266">
        <v>84455</v>
      </c>
      <c r="E12" s="269">
        <v>60820</v>
      </c>
      <c r="F12" s="269">
        <v>29032</v>
      </c>
      <c r="G12" s="278">
        <v>1374427</v>
      </c>
      <c r="H12" s="266">
        <v>531097</v>
      </c>
      <c r="I12" s="270">
        <v>10845</v>
      </c>
      <c r="J12" s="269">
        <v>554572</v>
      </c>
      <c r="K12" s="269">
        <v>241848</v>
      </c>
      <c r="L12" s="269">
        <v>178638</v>
      </c>
      <c r="M12" s="266">
        <v>3109797</v>
      </c>
      <c r="N12" s="102">
        <f>M12/M14%</f>
        <v>51.053159165576041</v>
      </c>
      <c r="O12" s="61"/>
      <c r="Q12" s="56">
        <f>SUM(Q9:Q11)</f>
        <v>502</v>
      </c>
      <c r="Y12" s="61">
        <f>C12-'2. Overall cum progress June Rf'!C12</f>
        <v>0</v>
      </c>
      <c r="Z12" s="61">
        <f>D12-'2. Overall cum progress June Rf'!D12</f>
        <v>0</v>
      </c>
      <c r="AA12" s="61">
        <f>E12-'2. Overall cum progress June Rf'!E12</f>
        <v>448</v>
      </c>
      <c r="AB12" s="61">
        <f>F12-'2. Overall cum progress June Rf'!F12</f>
        <v>330</v>
      </c>
      <c r="AC12" s="61">
        <f>G12-'2. Overall cum progress June Rf'!G12</f>
        <v>6372</v>
      </c>
      <c r="AD12" s="61">
        <f>H12-'2. Overall cum progress June Rf'!H12</f>
        <v>9924</v>
      </c>
      <c r="AE12" s="61">
        <f>I12-'2. Overall cum progress June Rf'!I12</f>
        <v>0</v>
      </c>
      <c r="AF12" s="61">
        <f>J12-'2. Overall cum progress June Rf'!J12</f>
        <v>1250</v>
      </c>
      <c r="AG12" s="61">
        <f>K12-'2. Overall cum progress June Rf'!K12</f>
        <v>-2712</v>
      </c>
      <c r="AH12" s="61">
        <f>L12-'2. Overall cum progress June Rf'!L12</f>
        <v>104</v>
      </c>
      <c r="AI12" s="61">
        <f>M12-'2. Overall cum progress June Rf'!M12</f>
        <v>15716</v>
      </c>
    </row>
    <row r="13" spans="1:35" s="56" customFormat="1">
      <c r="A13" s="390"/>
      <c r="B13" s="273" t="s">
        <v>18</v>
      </c>
      <c r="C13" s="266">
        <v>58257</v>
      </c>
      <c r="D13" s="266">
        <v>121509</v>
      </c>
      <c r="E13" s="269">
        <v>137607</v>
      </c>
      <c r="F13" s="269">
        <v>26262</v>
      </c>
      <c r="G13" s="278">
        <v>1131443</v>
      </c>
      <c r="H13" s="266">
        <v>766162</v>
      </c>
      <c r="I13" s="270">
        <v>11348</v>
      </c>
      <c r="J13" s="269">
        <v>38662</v>
      </c>
      <c r="K13" s="269">
        <v>548427</v>
      </c>
      <c r="L13" s="269">
        <v>141818</v>
      </c>
      <c r="M13" s="266">
        <v>2981495</v>
      </c>
      <c r="N13" s="74"/>
      <c r="O13" s="61"/>
      <c r="Y13" s="61">
        <f>C13-'2. Overall cum progress June Rf'!C13</f>
        <v>0</v>
      </c>
      <c r="Z13" s="61">
        <f>D13-'2. Overall cum progress June Rf'!D13</f>
        <v>0</v>
      </c>
      <c r="AA13" s="61">
        <f>E13-'2. Overall cum progress June Rf'!E13</f>
        <v>1168</v>
      </c>
      <c r="AB13" s="61">
        <f>F13-'2. Overall cum progress June Rf'!F13</f>
        <v>0</v>
      </c>
      <c r="AC13" s="61">
        <f>G13-'2. Overall cum progress June Rf'!G13</f>
        <v>22633</v>
      </c>
      <c r="AD13" s="61">
        <f>H13-'2. Overall cum progress June Rf'!H13</f>
        <v>9797</v>
      </c>
      <c r="AE13" s="61">
        <f>I13-'2. Overall cum progress June Rf'!I13</f>
        <v>0</v>
      </c>
      <c r="AF13" s="61">
        <f>J13-'2. Overall cum progress June Rf'!J13</f>
        <v>0</v>
      </c>
      <c r="AG13" s="61">
        <f>K13-'2. Overall cum progress June Rf'!K13</f>
        <v>16925</v>
      </c>
      <c r="AH13" s="61">
        <f>L13-'2. Overall cum progress June Rf'!L13</f>
        <v>156</v>
      </c>
      <c r="AI13" s="61">
        <f>M13-'2. Overall cum progress June Rf'!M13</f>
        <v>50679</v>
      </c>
    </row>
    <row r="14" spans="1:35" s="56" customFormat="1">
      <c r="A14" s="390"/>
      <c r="B14" s="279" t="s">
        <v>16</v>
      </c>
      <c r="C14" s="275">
        <v>102320</v>
      </c>
      <c r="D14" s="275">
        <v>205964</v>
      </c>
      <c r="E14" s="275">
        <v>198427</v>
      </c>
      <c r="F14" s="275">
        <v>55294</v>
      </c>
      <c r="G14" s="280">
        <v>2505870</v>
      </c>
      <c r="H14" s="275">
        <v>1297259</v>
      </c>
      <c r="I14" s="275">
        <v>22193</v>
      </c>
      <c r="J14" s="275">
        <v>593234</v>
      </c>
      <c r="K14" s="266">
        <v>790275</v>
      </c>
      <c r="L14" s="275">
        <v>320456</v>
      </c>
      <c r="M14" s="275">
        <v>6091292</v>
      </c>
      <c r="N14" s="75">
        <f>M14/1000000</f>
        <v>6.0912920000000002</v>
      </c>
      <c r="O14" s="61">
        <f>L14-314221</f>
        <v>6235</v>
      </c>
      <c r="U14" s="56">
        <f>E12/E8</f>
        <v>16.599344978165938</v>
      </c>
      <c r="Y14" s="61">
        <f>C14-'2. Overall cum progress June Rf'!C14</f>
        <v>0</v>
      </c>
      <c r="Z14" s="61">
        <f>D14-'2. Overall cum progress June Rf'!D14</f>
        <v>0</v>
      </c>
      <c r="AA14" s="61">
        <f>E14-'2. Overall cum progress June Rf'!E14</f>
        <v>1616</v>
      </c>
      <c r="AB14" s="61">
        <f>F14-'2. Overall cum progress June Rf'!F14</f>
        <v>330</v>
      </c>
      <c r="AC14" s="61">
        <f>G14-'2. Overall cum progress June Rf'!G14</f>
        <v>29005</v>
      </c>
      <c r="AD14" s="61">
        <f>H14-'2. Overall cum progress June Rf'!H14</f>
        <v>19721</v>
      </c>
      <c r="AE14" s="61">
        <f>I14-'2. Overall cum progress June Rf'!I14</f>
        <v>0</v>
      </c>
      <c r="AF14" s="61">
        <f>J14-'2. Overall cum progress June Rf'!J14</f>
        <v>1250</v>
      </c>
      <c r="AG14" s="61">
        <f>K14-'2. Overall cum progress June Rf'!K14</f>
        <v>14213</v>
      </c>
      <c r="AH14" s="61">
        <f>L14-'2. Overall cum progress June Rf'!L14</f>
        <v>260</v>
      </c>
      <c r="AI14" s="61">
        <f>M14-'2. Overall cum progress June Rf'!M14</f>
        <v>66395</v>
      </c>
    </row>
    <row r="15" spans="1:35" s="60" customFormat="1">
      <c r="A15" s="391" t="s">
        <v>223</v>
      </c>
      <c r="B15" s="281" t="s">
        <v>17</v>
      </c>
      <c r="C15" s="266">
        <v>24.064</v>
      </c>
      <c r="D15" s="266">
        <v>129.43899999999999</v>
      </c>
      <c r="E15" s="269">
        <v>5.45</v>
      </c>
      <c r="F15" s="269">
        <v>4.3</v>
      </c>
      <c r="G15" s="278">
        <v>231.26539175000002</v>
      </c>
      <c r="H15" s="266">
        <v>81.551000000000002</v>
      </c>
      <c r="I15" s="270">
        <v>0</v>
      </c>
      <c r="J15" s="269">
        <v>110</v>
      </c>
      <c r="K15" s="269">
        <v>40.176000000000002</v>
      </c>
      <c r="L15" s="269">
        <v>82.720210000000009</v>
      </c>
      <c r="M15" s="266">
        <v>708.96560175000013</v>
      </c>
      <c r="N15" s="74"/>
      <c r="O15" s="61"/>
      <c r="P15" s="60">
        <v>742335</v>
      </c>
      <c r="R15" s="56"/>
      <c r="U15" s="60">
        <f>E13/E9</f>
        <v>16.313811499703615</v>
      </c>
      <c r="Y15" s="61">
        <f>C15-'2. Overall cum progress June Rf'!C15</f>
        <v>0</v>
      </c>
      <c r="Z15" s="61">
        <f>D15-'2. Overall cum progress June Rf'!D15</f>
        <v>0</v>
      </c>
      <c r="AA15" s="61">
        <f>E15-'2. Overall cum progress June Rf'!E15</f>
        <v>0</v>
      </c>
      <c r="AB15" s="61">
        <f>F15-'2. Overall cum progress June Rf'!F15</f>
        <v>0</v>
      </c>
      <c r="AC15" s="61">
        <f>G15-'2. Overall cum progress June Rf'!G15</f>
        <v>-8.2346082499999795</v>
      </c>
      <c r="AD15" s="61">
        <f>H15-'2. Overall cum progress June Rf'!H15</f>
        <v>0</v>
      </c>
      <c r="AE15" s="61">
        <f>I15-'2. Overall cum progress June Rf'!I15</f>
        <v>0</v>
      </c>
      <c r="AF15" s="61">
        <f>J15-'2. Overall cum progress June Rf'!J15</f>
        <v>0</v>
      </c>
      <c r="AG15" s="61">
        <f>K15-'2. Overall cum progress June Rf'!K15</f>
        <v>1.6660000000000039</v>
      </c>
      <c r="AH15" s="61">
        <f>L15-'2. Overall cum progress June Rf'!L15</f>
        <v>0.18000000000002103</v>
      </c>
      <c r="AI15" s="61">
        <f>M15-'2. Overall cum progress June Rf'!M15</f>
        <v>-6.3886082499998338</v>
      </c>
    </row>
    <row r="16" spans="1:35" s="60" customFormat="1">
      <c r="A16" s="391"/>
      <c r="B16" s="282" t="s">
        <v>18</v>
      </c>
      <c r="C16" s="266">
        <v>11.851000000000001</v>
      </c>
      <c r="D16" s="266">
        <v>371.08199999999999</v>
      </c>
      <c r="E16" s="269">
        <v>8.7799999999999994</v>
      </c>
      <c r="F16" s="269">
        <v>5.0999999999999996</v>
      </c>
      <c r="G16" s="278">
        <v>1242.18894925</v>
      </c>
      <c r="H16" s="266">
        <v>81.003</v>
      </c>
      <c r="I16" s="270">
        <v>1</v>
      </c>
      <c r="J16" s="269">
        <v>7</v>
      </c>
      <c r="K16" s="269">
        <v>103.69199999999999</v>
      </c>
      <c r="L16" s="269">
        <v>120.82577499999999</v>
      </c>
      <c r="M16" s="266">
        <v>1952.52272425</v>
      </c>
      <c r="N16" s="74"/>
      <c r="O16" s="61"/>
      <c r="P16" s="60">
        <f>P15/1000000</f>
        <v>0.74233499999999997</v>
      </c>
      <c r="R16" s="56"/>
      <c r="Y16" s="61">
        <f>C16-'2. Overall cum progress June Rf'!C16</f>
        <v>0</v>
      </c>
      <c r="Z16" s="61">
        <f>D16-'2. Overall cum progress June Rf'!D16</f>
        <v>0</v>
      </c>
      <c r="AA16" s="61">
        <f>E16-'2. Overall cum progress June Rf'!E16</f>
        <v>0</v>
      </c>
      <c r="AB16" s="61">
        <f>F16-'2. Overall cum progress June Rf'!F16</f>
        <v>0</v>
      </c>
      <c r="AC16" s="61">
        <f>G16-'2. Overall cum progress June Rf'!G16</f>
        <v>39.598949250000032</v>
      </c>
      <c r="AD16" s="61">
        <f>H16-'2. Overall cum progress June Rf'!H16</f>
        <v>0</v>
      </c>
      <c r="AE16" s="61">
        <f>I16-'2. Overall cum progress June Rf'!I16</f>
        <v>0</v>
      </c>
      <c r="AF16" s="61">
        <f>J16-'2. Overall cum progress June Rf'!J16</f>
        <v>0</v>
      </c>
      <c r="AG16" s="61">
        <f>K16-'2. Overall cum progress June Rf'!K16</f>
        <v>0.82199999999998852</v>
      </c>
      <c r="AH16" s="61">
        <f>L16-'2. Overall cum progress June Rf'!L16</f>
        <v>0.37999999999999545</v>
      </c>
      <c r="AI16" s="61">
        <f>M16-'2. Overall cum progress June Rf'!M16</f>
        <v>40.800949250000258</v>
      </c>
    </row>
    <row r="17" spans="1:35" s="60" customFormat="1">
      <c r="A17" s="391"/>
      <c r="B17" s="279" t="s">
        <v>16</v>
      </c>
      <c r="C17" s="275">
        <v>35.914999999999999</v>
      </c>
      <c r="D17" s="275">
        <v>500.52099999999996</v>
      </c>
      <c r="E17" s="275">
        <v>14.23</v>
      </c>
      <c r="F17" s="275">
        <v>9.3999999999999986</v>
      </c>
      <c r="G17" s="275">
        <v>1473.4543409999999</v>
      </c>
      <c r="H17" s="275">
        <v>162.554</v>
      </c>
      <c r="I17" s="275">
        <v>1</v>
      </c>
      <c r="J17" s="275">
        <v>117</v>
      </c>
      <c r="K17" s="283">
        <v>143.86799999999999</v>
      </c>
      <c r="L17" s="284">
        <v>203.545985</v>
      </c>
      <c r="M17" s="275">
        <v>2661.4883260000001</v>
      </c>
      <c r="N17" s="74"/>
      <c r="O17" s="61"/>
      <c r="R17" s="56"/>
      <c r="Y17" s="61">
        <f>C17-'2. Overall cum progress June Rf'!C17</f>
        <v>0</v>
      </c>
      <c r="Z17" s="61">
        <f>D17-'2. Overall cum progress June Rf'!D17</f>
        <v>0</v>
      </c>
      <c r="AA17" s="61">
        <f>E17-'2. Overall cum progress June Rf'!E17</f>
        <v>0</v>
      </c>
      <c r="AB17" s="61">
        <f>F17-'2. Overall cum progress June Rf'!F17</f>
        <v>0</v>
      </c>
      <c r="AC17" s="61">
        <f>G17-'2. Overall cum progress June Rf'!G17</f>
        <v>31.364340999999968</v>
      </c>
      <c r="AD17" s="61">
        <f>H17-'2. Overall cum progress June Rf'!H17</f>
        <v>0</v>
      </c>
      <c r="AE17" s="61">
        <f>I17-'2. Overall cum progress June Rf'!I17</f>
        <v>0</v>
      </c>
      <c r="AF17" s="61">
        <f>J17-'2. Overall cum progress June Rf'!J17</f>
        <v>0</v>
      </c>
      <c r="AG17" s="61">
        <f>K17-'2. Overall cum progress June Rf'!K17</f>
        <v>2.4879999999999995</v>
      </c>
      <c r="AH17" s="61">
        <f>L17-'2. Overall cum progress June Rf'!L17</f>
        <v>0.5600000000000307</v>
      </c>
      <c r="AI17" s="61">
        <f>M17-'2. Overall cum progress June Rf'!M17</f>
        <v>34.412341000000652</v>
      </c>
    </row>
    <row r="18" spans="1:35" s="56" customFormat="1">
      <c r="A18" s="385" t="s">
        <v>19</v>
      </c>
      <c r="B18" s="271" t="s">
        <v>17</v>
      </c>
      <c r="C18" s="266">
        <v>10954</v>
      </c>
      <c r="D18" s="266">
        <v>58754</v>
      </c>
      <c r="E18" s="269">
        <v>51036</v>
      </c>
      <c r="F18" s="269">
        <v>12724</v>
      </c>
      <c r="G18" s="278">
        <v>1417420</v>
      </c>
      <c r="H18" s="266">
        <v>148234</v>
      </c>
      <c r="I18" s="270">
        <v>4830</v>
      </c>
      <c r="J18" s="269">
        <v>233086</v>
      </c>
      <c r="K18" s="269">
        <v>76160</v>
      </c>
      <c r="L18" s="269">
        <v>103801</v>
      </c>
      <c r="M18" s="266">
        <v>2116999</v>
      </c>
      <c r="N18" s="60">
        <f>M18/1000000</f>
        <v>2.1169989999999999</v>
      </c>
      <c r="O18" s="60">
        <f>M18/M20%</f>
        <v>52.991253810703739</v>
      </c>
      <c r="Y18" s="61">
        <f>C18-'2. Overall cum progress June Rf'!C18</f>
        <v>0</v>
      </c>
      <c r="Z18" s="61">
        <f>D18-'2. Overall cum progress June Rf'!D18</f>
        <v>0</v>
      </c>
      <c r="AA18" s="61">
        <f>E18-'2. Overall cum progress June Rf'!E18</f>
        <v>346</v>
      </c>
      <c r="AB18" s="61">
        <f>F18-'2. Overall cum progress June Rf'!F18</f>
        <v>67</v>
      </c>
      <c r="AC18" s="61">
        <f>G18-'2. Overall cum progress June Rf'!G18</f>
        <v>27667</v>
      </c>
      <c r="AD18" s="61">
        <f>H18-'2. Overall cum progress June Rf'!H18</f>
        <v>1688</v>
      </c>
      <c r="AE18" s="61">
        <f>I18-'2. Overall cum progress June Rf'!I18</f>
        <v>0</v>
      </c>
      <c r="AF18" s="61">
        <f>J18-'2. Overall cum progress June Rf'!J18</f>
        <v>1054</v>
      </c>
      <c r="AG18" s="61">
        <f>K18-'2. Overall cum progress June Rf'!K18</f>
        <v>3884</v>
      </c>
      <c r="AH18" s="61">
        <f>L18-'2. Overall cum progress June Rf'!L18</f>
        <v>1020</v>
      </c>
      <c r="AI18" s="61">
        <f>M18-'2. Overall cum progress June Rf'!M18</f>
        <v>35726</v>
      </c>
    </row>
    <row r="19" spans="1:35" s="56" customFormat="1">
      <c r="A19" s="385"/>
      <c r="B19" s="273" t="s">
        <v>18</v>
      </c>
      <c r="C19" s="266">
        <v>6385</v>
      </c>
      <c r="D19" s="266">
        <v>27804</v>
      </c>
      <c r="E19" s="269">
        <v>117747</v>
      </c>
      <c r="F19" s="269">
        <v>4641</v>
      </c>
      <c r="G19" s="278">
        <v>1171410</v>
      </c>
      <c r="H19" s="266">
        <v>333411</v>
      </c>
      <c r="I19" s="270">
        <v>4825</v>
      </c>
      <c r="J19" s="269">
        <v>13632</v>
      </c>
      <c r="K19" s="269">
        <v>101815</v>
      </c>
      <c r="L19" s="269">
        <v>96328</v>
      </c>
      <c r="M19" s="266">
        <v>1877998</v>
      </c>
      <c r="N19" s="74"/>
      <c r="O19" s="61"/>
      <c r="Y19" s="61">
        <f>C19-'2. Overall cum progress June Rf'!C19</f>
        <v>0</v>
      </c>
      <c r="Z19" s="61">
        <f>D19-'2. Overall cum progress June Rf'!D19</f>
        <v>0</v>
      </c>
      <c r="AA19" s="61">
        <f>E19-'2. Overall cum progress June Rf'!E19</f>
        <v>838</v>
      </c>
      <c r="AB19" s="61">
        <f>F19-'2. Overall cum progress June Rf'!F19</f>
        <v>30</v>
      </c>
      <c r="AC19" s="61">
        <f>G19-'2. Overall cum progress June Rf'!G19</f>
        <v>17782</v>
      </c>
      <c r="AD19" s="61">
        <f>H19-'2. Overall cum progress June Rf'!H19</f>
        <v>1721</v>
      </c>
      <c r="AE19" s="61">
        <f>I19-'2. Overall cum progress June Rf'!I19</f>
        <v>0</v>
      </c>
      <c r="AF19" s="61">
        <f>J19-'2. Overall cum progress June Rf'!J19</f>
        <v>0</v>
      </c>
      <c r="AG19" s="61">
        <f>K19-'2. Overall cum progress June Rf'!K19</f>
        <v>3667</v>
      </c>
      <c r="AH19" s="61">
        <f>L19-'2. Overall cum progress June Rf'!L19</f>
        <v>958</v>
      </c>
      <c r="AI19" s="61">
        <f>M19-'2. Overall cum progress June Rf'!M19</f>
        <v>24996</v>
      </c>
    </row>
    <row r="20" spans="1:35" s="56" customFormat="1">
      <c r="A20" s="385"/>
      <c r="B20" s="274" t="s">
        <v>16</v>
      </c>
      <c r="C20" s="275">
        <v>17339</v>
      </c>
      <c r="D20" s="275">
        <v>86558</v>
      </c>
      <c r="E20" s="275">
        <v>168783</v>
      </c>
      <c r="F20" s="275">
        <v>17365</v>
      </c>
      <c r="G20" s="275">
        <v>2588830</v>
      </c>
      <c r="H20" s="275">
        <v>481645</v>
      </c>
      <c r="I20" s="275">
        <v>9655</v>
      </c>
      <c r="J20" s="275">
        <v>246718</v>
      </c>
      <c r="K20" s="275">
        <v>177975</v>
      </c>
      <c r="L20" s="275">
        <v>200129</v>
      </c>
      <c r="M20" s="275">
        <v>3994997</v>
      </c>
      <c r="N20" s="60">
        <f>M20/1000000</f>
        <v>3.9949970000000001</v>
      </c>
      <c r="O20" s="61"/>
      <c r="Y20" s="61">
        <f>C20-'2. Overall cum progress June Rf'!C20</f>
        <v>0</v>
      </c>
      <c r="Z20" s="61">
        <f>D20-'2. Overall cum progress June Rf'!D20</f>
        <v>0</v>
      </c>
      <c r="AA20" s="61">
        <f>E20-'2. Overall cum progress June Rf'!E20</f>
        <v>1184</v>
      </c>
      <c r="AB20" s="61">
        <f>F20-'2. Overall cum progress June Rf'!F20</f>
        <v>97</v>
      </c>
      <c r="AC20" s="61">
        <f>G20-'2. Overall cum progress June Rf'!G20</f>
        <v>45449</v>
      </c>
      <c r="AD20" s="61">
        <f>H20-'2. Overall cum progress June Rf'!H20</f>
        <v>3409</v>
      </c>
      <c r="AE20" s="61">
        <f>I20-'2. Overall cum progress June Rf'!I20</f>
        <v>0</v>
      </c>
      <c r="AF20" s="61">
        <f>J20-'2. Overall cum progress June Rf'!J20</f>
        <v>1054</v>
      </c>
      <c r="AG20" s="61">
        <f>K20-'2. Overall cum progress June Rf'!K20</f>
        <v>7551</v>
      </c>
      <c r="AH20" s="61">
        <f>L20-'2. Overall cum progress June Rf'!L20</f>
        <v>1978</v>
      </c>
      <c r="AI20" s="61">
        <f>M20-'2. Overall cum progress June Rf'!M20</f>
        <v>60722</v>
      </c>
    </row>
    <row r="21" spans="1:35" s="56" customFormat="1">
      <c r="A21" s="392" t="s">
        <v>205</v>
      </c>
      <c r="B21" s="273" t="s">
        <v>295</v>
      </c>
      <c r="C21" s="266">
        <v>6</v>
      </c>
      <c r="D21" s="266">
        <v>12</v>
      </c>
      <c r="E21" s="269">
        <v>2</v>
      </c>
      <c r="F21" s="269">
        <v>1</v>
      </c>
      <c r="G21" s="278">
        <v>246</v>
      </c>
      <c r="H21" s="266">
        <v>2</v>
      </c>
      <c r="I21" s="270">
        <v>0</v>
      </c>
      <c r="J21" s="269">
        <v>40</v>
      </c>
      <c r="K21" s="269">
        <v>0</v>
      </c>
      <c r="L21" s="269">
        <v>8</v>
      </c>
      <c r="M21" s="266">
        <v>317</v>
      </c>
      <c r="N21" s="74"/>
      <c r="O21" s="61"/>
      <c r="Y21" s="61">
        <f>C21-'2. Overall cum progress June Rf'!C21</f>
        <v>0</v>
      </c>
      <c r="Z21" s="61">
        <f>D21-'2. Overall cum progress June Rf'!D21</f>
        <v>0</v>
      </c>
      <c r="AA21" s="61">
        <f>E21-'2. Overall cum progress June Rf'!E21</f>
        <v>0</v>
      </c>
      <c r="AB21" s="61">
        <f>F21-'2. Overall cum progress June Rf'!F21</f>
        <v>0</v>
      </c>
      <c r="AC21" s="61">
        <f>G21-'2. Overall cum progress June Rf'!G21</f>
        <v>35</v>
      </c>
      <c r="AD21" s="61">
        <f>H21-'2. Overall cum progress June Rf'!H21</f>
        <v>0</v>
      </c>
      <c r="AE21" s="61">
        <f>I21-'2. Overall cum progress June Rf'!I21</f>
        <v>0</v>
      </c>
      <c r="AF21" s="61">
        <f>J21-'2. Overall cum progress June Rf'!J21</f>
        <v>5</v>
      </c>
      <c r="AG21" s="61">
        <f>K21-'2. Overall cum progress June Rf'!K21</f>
        <v>0</v>
      </c>
      <c r="AH21" s="61">
        <f>L21-'2. Overall cum progress June Rf'!L21</f>
        <v>0</v>
      </c>
      <c r="AI21" s="61">
        <f>M21-'2. Overall cum progress June Rf'!M21</f>
        <v>40</v>
      </c>
    </row>
    <row r="22" spans="1:35" s="56" customFormat="1">
      <c r="A22" s="393"/>
      <c r="B22" s="273" t="s">
        <v>296</v>
      </c>
      <c r="C22" s="266">
        <v>0</v>
      </c>
      <c r="D22" s="266">
        <v>0</v>
      </c>
      <c r="E22" s="269">
        <v>0</v>
      </c>
      <c r="F22" s="269">
        <v>10</v>
      </c>
      <c r="G22" s="278">
        <v>74</v>
      </c>
      <c r="H22" s="266">
        <v>33</v>
      </c>
      <c r="I22" s="270">
        <v>0</v>
      </c>
      <c r="J22" s="269">
        <v>3715</v>
      </c>
      <c r="K22" s="269">
        <v>326</v>
      </c>
      <c r="L22" s="269">
        <v>1307</v>
      </c>
      <c r="M22" s="266">
        <v>5465</v>
      </c>
      <c r="N22" s="74"/>
      <c r="O22" s="61"/>
      <c r="Y22" s="61">
        <f>C22-'2. Overall cum progress June Rf'!C22</f>
        <v>0</v>
      </c>
      <c r="Z22" s="61">
        <f>D22-'2. Overall cum progress June Rf'!D22</f>
        <v>0</v>
      </c>
      <c r="AA22" s="61">
        <f>E22-'2. Overall cum progress June Rf'!E22</f>
        <v>0</v>
      </c>
      <c r="AB22" s="61">
        <f>F22-'2. Overall cum progress June Rf'!F22</f>
        <v>0</v>
      </c>
      <c r="AC22" s="61">
        <f>G22-'2. Overall cum progress June Rf'!G22</f>
        <v>0</v>
      </c>
      <c r="AD22" s="61">
        <f>H22-'2. Overall cum progress June Rf'!H22</f>
        <v>0</v>
      </c>
      <c r="AE22" s="61">
        <f>I22-'2. Overall cum progress June Rf'!I22</f>
        <v>0</v>
      </c>
      <c r="AF22" s="61">
        <f>J22-'2. Overall cum progress June Rf'!J22</f>
        <v>67</v>
      </c>
      <c r="AG22" s="61">
        <f>K22-'2. Overall cum progress June Rf'!K22</f>
        <v>0</v>
      </c>
      <c r="AH22" s="61">
        <f>L22-'2. Overall cum progress June Rf'!L22</f>
        <v>0</v>
      </c>
      <c r="AI22" s="61">
        <f>M22-'2. Overall cum progress June Rf'!M22</f>
        <v>67</v>
      </c>
    </row>
    <row r="23" spans="1:35" s="56" customFormat="1">
      <c r="A23" s="393"/>
      <c r="B23" s="273" t="s">
        <v>297</v>
      </c>
      <c r="C23" s="266">
        <v>1094</v>
      </c>
      <c r="D23" s="266">
        <v>2055</v>
      </c>
      <c r="E23" s="269">
        <v>20</v>
      </c>
      <c r="F23" s="269">
        <v>42</v>
      </c>
      <c r="G23" s="285">
        <v>41719</v>
      </c>
      <c r="H23" s="266">
        <v>3254</v>
      </c>
      <c r="I23" s="270">
        <v>0</v>
      </c>
      <c r="J23" s="269">
        <v>101383</v>
      </c>
      <c r="K23" s="269">
        <v>36982</v>
      </c>
      <c r="L23" s="269">
        <v>17239</v>
      </c>
      <c r="M23" s="266">
        <v>203788</v>
      </c>
      <c r="N23" s="74"/>
      <c r="O23" s="61"/>
      <c r="Y23" s="61">
        <f>C23-'2. Overall cum progress June Rf'!C23</f>
        <v>0</v>
      </c>
      <c r="Z23" s="61">
        <f>D23-'2. Overall cum progress June Rf'!D23</f>
        <v>0</v>
      </c>
      <c r="AA23" s="61">
        <f>E23-'2. Overall cum progress June Rf'!E23</f>
        <v>0</v>
      </c>
      <c r="AB23" s="61">
        <f>F23-'2. Overall cum progress June Rf'!F23</f>
        <v>0</v>
      </c>
      <c r="AC23" s="61">
        <f>G23-'2. Overall cum progress June Rf'!G23</f>
        <v>5069</v>
      </c>
      <c r="AD23" s="61">
        <f>H23-'2. Overall cum progress June Rf'!H23</f>
        <v>132</v>
      </c>
      <c r="AE23" s="61">
        <f>I23-'2. Overall cum progress June Rf'!I23</f>
        <v>0</v>
      </c>
      <c r="AF23" s="61">
        <f>J23-'2. Overall cum progress June Rf'!J23</f>
        <v>679</v>
      </c>
      <c r="AG23" s="61">
        <f>K23-'2. Overall cum progress June Rf'!K23</f>
        <v>0</v>
      </c>
      <c r="AH23" s="61">
        <f>L23-'2. Overall cum progress June Rf'!L23</f>
        <v>0</v>
      </c>
      <c r="AI23" s="61">
        <f>M23-'2. Overall cum progress June Rf'!M23</f>
        <v>5880</v>
      </c>
    </row>
    <row r="24" spans="1:35" s="56" customFormat="1" ht="25.5">
      <c r="A24" s="394"/>
      <c r="B24" s="273" t="s">
        <v>206</v>
      </c>
      <c r="C24" s="266">
        <v>16</v>
      </c>
      <c r="D24" s="266">
        <v>16.106083000000002</v>
      </c>
      <c r="E24" s="269">
        <v>1</v>
      </c>
      <c r="F24" s="269">
        <v>0.6</v>
      </c>
      <c r="G24" s="285">
        <v>582</v>
      </c>
      <c r="H24" s="266">
        <v>40.870000000000005</v>
      </c>
      <c r="I24" s="270">
        <v>0</v>
      </c>
      <c r="J24" s="269">
        <v>1059</v>
      </c>
      <c r="K24" s="269">
        <v>402</v>
      </c>
      <c r="L24" s="269">
        <v>230.023</v>
      </c>
      <c r="M24" s="286">
        <v>2347.5990830000001</v>
      </c>
      <c r="N24" s="75">
        <f>M24/90</f>
        <v>26.084434255555557</v>
      </c>
      <c r="O24" s="103">
        <f>M24/85</f>
        <v>27.61881274117647</v>
      </c>
      <c r="Y24" s="61">
        <f>C24-'2. Overall cum progress June Rf'!C24</f>
        <v>0</v>
      </c>
      <c r="Z24" s="61">
        <f>D24-'2. Overall cum progress June Rf'!D24</f>
        <v>0</v>
      </c>
      <c r="AA24" s="61">
        <f>E24-'2. Overall cum progress June Rf'!E24</f>
        <v>0</v>
      </c>
      <c r="AB24" s="61">
        <f>F24-'2. Overall cum progress June Rf'!F24</f>
        <v>0</v>
      </c>
      <c r="AC24" s="61">
        <f>G24-'2. Overall cum progress June Rf'!G24</f>
        <v>184.63350000000003</v>
      </c>
      <c r="AD24" s="61">
        <f>H24-'2. Overall cum progress June Rf'!H24</f>
        <v>2.6200000000000045</v>
      </c>
      <c r="AE24" s="61">
        <f>I24-'2. Overall cum progress June Rf'!I24</f>
        <v>0</v>
      </c>
      <c r="AF24" s="61">
        <f>J24-'2. Overall cum progress June Rf'!J24</f>
        <v>12</v>
      </c>
      <c r="AG24" s="61">
        <f>K24-'2. Overall cum progress June Rf'!K24</f>
        <v>0</v>
      </c>
      <c r="AH24" s="61">
        <f>L24-'2. Overall cum progress June Rf'!L24</f>
        <v>0</v>
      </c>
      <c r="AI24" s="61">
        <f>M24-'2. Overall cum progress June Rf'!M24</f>
        <v>199.25350000000026</v>
      </c>
    </row>
    <row r="25" spans="1:35" s="60" customFormat="1">
      <c r="A25" s="395" t="s">
        <v>20</v>
      </c>
      <c r="B25" s="281" t="s">
        <v>17</v>
      </c>
      <c r="C25" s="266">
        <v>79.263000000000005</v>
      </c>
      <c r="D25" s="266">
        <v>195</v>
      </c>
      <c r="E25" s="269">
        <v>9</v>
      </c>
      <c r="F25" s="269">
        <v>470</v>
      </c>
      <c r="G25" s="285">
        <v>40410.936710000002</v>
      </c>
      <c r="H25" s="266">
        <v>5155.9799999999996</v>
      </c>
      <c r="I25" s="270">
        <v>0</v>
      </c>
      <c r="J25" s="269">
        <v>5193</v>
      </c>
      <c r="K25" s="269">
        <v>385</v>
      </c>
      <c r="L25" s="269">
        <v>3776.9070000000002</v>
      </c>
      <c r="M25" s="266">
        <v>55675.086709999996</v>
      </c>
      <c r="N25" s="102">
        <f>M25/1000</f>
        <v>55.675086709999995</v>
      </c>
      <c r="O25" s="103">
        <f>M25/85</f>
        <v>655.00102011764704</v>
      </c>
      <c r="R25" s="56"/>
      <c r="Y25" s="61">
        <f>C25-'2. Overall cum progress June Rf'!C25</f>
        <v>0</v>
      </c>
      <c r="Z25" s="61">
        <f>D25-'2. Overall cum progress June Rf'!D25</f>
        <v>0</v>
      </c>
      <c r="AA25" s="61">
        <f>E25-'2. Overall cum progress June Rf'!E25</f>
        <v>0</v>
      </c>
      <c r="AB25" s="61">
        <f>F25-'2. Overall cum progress June Rf'!F25</f>
        <v>34</v>
      </c>
      <c r="AC25" s="61">
        <f>G25-'2. Overall cum progress June Rf'!G25</f>
        <v>2645.7655000000013</v>
      </c>
      <c r="AD25" s="61">
        <f>H25-'2. Overall cum progress June Rf'!H25</f>
        <v>177.40999999999985</v>
      </c>
      <c r="AE25" s="61">
        <f>I25-'2. Overall cum progress June Rf'!I25</f>
        <v>0</v>
      </c>
      <c r="AF25" s="61">
        <f>J25-'2. Overall cum progress June Rf'!J25</f>
        <v>83</v>
      </c>
      <c r="AG25" s="61">
        <f>K25-'2. Overall cum progress June Rf'!K25</f>
        <v>0</v>
      </c>
      <c r="AH25" s="61">
        <f>L25-'2. Overall cum progress June Rf'!L25</f>
        <v>178.44000000000051</v>
      </c>
      <c r="AI25" s="61">
        <f>M25-'2. Overall cum progress June Rf'!M25</f>
        <v>3118.6154999999999</v>
      </c>
    </row>
    <row r="26" spans="1:35" s="60" customFormat="1">
      <c r="A26" s="395"/>
      <c r="B26" s="282" t="s">
        <v>18</v>
      </c>
      <c r="C26" s="266">
        <v>58.572000000000003</v>
      </c>
      <c r="D26" s="266">
        <v>833</v>
      </c>
      <c r="E26" s="269">
        <v>16</v>
      </c>
      <c r="F26" s="269">
        <v>92</v>
      </c>
      <c r="G26" s="285">
        <v>47466.355201999999</v>
      </c>
      <c r="H26" s="266">
        <v>6806.4699999999993</v>
      </c>
      <c r="I26" s="270">
        <v>0</v>
      </c>
      <c r="J26" s="269">
        <v>730</v>
      </c>
      <c r="K26" s="269">
        <v>282</v>
      </c>
      <c r="L26" s="269">
        <v>3924.3429999999998</v>
      </c>
      <c r="M26" s="266">
        <v>60208.740202000001</v>
      </c>
      <c r="N26" s="74"/>
      <c r="O26" s="103"/>
      <c r="R26" s="56"/>
      <c r="Y26" s="61">
        <f>C26-'2. Overall cum progress June Rf'!C26</f>
        <v>0</v>
      </c>
      <c r="Z26" s="61">
        <f>D26-'2. Overall cum progress June Rf'!D26</f>
        <v>0</v>
      </c>
      <c r="AA26" s="61">
        <f>E26-'2. Overall cum progress June Rf'!E26</f>
        <v>0</v>
      </c>
      <c r="AB26" s="61">
        <f>F26-'2. Overall cum progress June Rf'!F26</f>
        <v>2</v>
      </c>
      <c r="AC26" s="61">
        <f>G26-'2. Overall cum progress June Rf'!G26</f>
        <v>688.07299999999668</v>
      </c>
      <c r="AD26" s="61">
        <f>H26-'2. Overall cum progress June Rf'!H26</f>
        <v>206.97999999999956</v>
      </c>
      <c r="AE26" s="61">
        <f>I26-'2. Overall cum progress June Rf'!I26</f>
        <v>0</v>
      </c>
      <c r="AF26" s="61">
        <f>J26-'2. Overall cum progress June Rf'!J26</f>
        <v>59</v>
      </c>
      <c r="AG26" s="61">
        <f>K26-'2. Overall cum progress June Rf'!K26</f>
        <v>0</v>
      </c>
      <c r="AH26" s="61">
        <f>L26-'2. Overall cum progress June Rf'!L26</f>
        <v>142.4399999999996</v>
      </c>
      <c r="AI26" s="61">
        <f>M26-'2. Overall cum progress June Rf'!M26</f>
        <v>1098.4930000000022</v>
      </c>
    </row>
    <row r="27" spans="1:35" s="60" customFormat="1">
      <c r="A27" s="395"/>
      <c r="B27" s="287" t="s">
        <v>16</v>
      </c>
      <c r="C27" s="275">
        <v>137.83500000000001</v>
      </c>
      <c r="D27" s="275">
        <v>1028</v>
      </c>
      <c r="E27" s="275">
        <v>25</v>
      </c>
      <c r="F27" s="275">
        <v>562</v>
      </c>
      <c r="G27" s="275">
        <v>87877.291912000001</v>
      </c>
      <c r="H27" s="275">
        <v>11962.449999999999</v>
      </c>
      <c r="I27" s="275">
        <v>0</v>
      </c>
      <c r="J27" s="275">
        <v>5923</v>
      </c>
      <c r="K27" s="275">
        <v>667</v>
      </c>
      <c r="L27" s="275">
        <v>7701.25</v>
      </c>
      <c r="M27" s="275">
        <v>115883.82691199999</v>
      </c>
      <c r="N27" s="102">
        <f>M27/1000</f>
        <v>115.88382691199999</v>
      </c>
      <c r="O27" s="103">
        <f>M27/85</f>
        <v>1363.3391401411764</v>
      </c>
      <c r="R27" s="56"/>
      <c r="Y27" s="61">
        <f>C27-'2. Overall cum progress June Rf'!C27</f>
        <v>0</v>
      </c>
      <c r="Z27" s="61">
        <f>D27-'2. Overall cum progress June Rf'!D27</f>
        <v>0</v>
      </c>
      <c r="AA27" s="61">
        <f>E27-'2. Overall cum progress June Rf'!E27</f>
        <v>0</v>
      </c>
      <c r="AB27" s="61">
        <f>F27-'2. Overall cum progress June Rf'!F27</f>
        <v>36</v>
      </c>
      <c r="AC27" s="61">
        <f>G27-'2. Overall cum progress June Rf'!G27</f>
        <v>3333.838499999998</v>
      </c>
      <c r="AD27" s="61">
        <f>H27-'2. Overall cum progress June Rf'!H27</f>
        <v>384.38999999999942</v>
      </c>
      <c r="AE27" s="61">
        <f>I27-'2. Overall cum progress June Rf'!I27</f>
        <v>0</v>
      </c>
      <c r="AF27" s="61">
        <f>J27-'2. Overall cum progress June Rf'!J27</f>
        <v>142</v>
      </c>
      <c r="AG27" s="61">
        <f>K27-'2. Overall cum progress June Rf'!K27</f>
        <v>0</v>
      </c>
      <c r="AH27" s="61">
        <f>L27-'2. Overall cum progress June Rf'!L27</f>
        <v>320.88000000000011</v>
      </c>
      <c r="AI27" s="61">
        <f>M27-'2. Overall cum progress June Rf'!M27</f>
        <v>4217.1085000000021</v>
      </c>
    </row>
    <row r="28" spans="1:35" s="56" customFormat="1">
      <c r="A28" s="385" t="s">
        <v>21</v>
      </c>
      <c r="B28" s="271" t="s">
        <v>17</v>
      </c>
      <c r="C28" s="266">
        <v>4764</v>
      </c>
      <c r="D28" s="266">
        <v>74813</v>
      </c>
      <c r="E28" s="269">
        <v>1156</v>
      </c>
      <c r="F28" s="269">
        <v>30049</v>
      </c>
      <c r="G28" s="278">
        <v>2475470</v>
      </c>
      <c r="H28" s="266">
        <v>349928</v>
      </c>
      <c r="I28" s="270">
        <v>0</v>
      </c>
      <c r="J28" s="269">
        <v>47321</v>
      </c>
      <c r="K28" s="269">
        <v>33268</v>
      </c>
      <c r="L28" s="269">
        <v>277128</v>
      </c>
      <c r="M28" s="266">
        <v>3293897</v>
      </c>
      <c r="N28" s="102">
        <f>M28/1000000</f>
        <v>3.2938969999999999</v>
      </c>
      <c r="O28" s="61"/>
      <c r="P28" s="56">
        <f>M28/M30%</f>
        <v>43.569155565267287</v>
      </c>
      <c r="Y28" s="61">
        <f>C28-'2. Overall cum progress June Rf'!C28</f>
        <v>0</v>
      </c>
      <c r="Z28" s="61">
        <f>D28-'2. Overall cum progress June Rf'!D28</f>
        <v>0</v>
      </c>
      <c r="AA28" s="61">
        <f>E28-'2. Overall cum progress June Rf'!E28</f>
        <v>0</v>
      </c>
      <c r="AB28" s="61">
        <f>F28-'2. Overall cum progress June Rf'!F28</f>
        <v>1840</v>
      </c>
      <c r="AC28" s="61">
        <f>G28-'2. Overall cum progress June Rf'!G28</f>
        <v>110234</v>
      </c>
      <c r="AD28" s="61">
        <f>H28-'2. Overall cum progress June Rf'!H28</f>
        <v>7912</v>
      </c>
      <c r="AE28" s="61">
        <f>I28-'2. Overall cum progress June Rf'!I28</f>
        <v>0</v>
      </c>
      <c r="AF28" s="61">
        <f>J28-'2. Overall cum progress June Rf'!J28</f>
        <v>-258590</v>
      </c>
      <c r="AG28" s="61">
        <f>K28-'2. Overall cum progress June Rf'!K28</f>
        <v>0</v>
      </c>
      <c r="AH28" s="61">
        <f>L28-'2. Overall cum progress June Rf'!L28</f>
        <v>10758</v>
      </c>
      <c r="AI28" s="61">
        <f>M28-'2. Overall cum progress June Rf'!M28</f>
        <v>-127846</v>
      </c>
    </row>
    <row r="29" spans="1:35" s="56" customFormat="1">
      <c r="A29" s="385"/>
      <c r="B29" s="273" t="s">
        <v>18</v>
      </c>
      <c r="C29" s="266">
        <v>3217</v>
      </c>
      <c r="D29" s="266">
        <v>546311</v>
      </c>
      <c r="E29" s="269">
        <v>1600</v>
      </c>
      <c r="F29" s="269">
        <v>6301</v>
      </c>
      <c r="G29" s="278">
        <v>2686415</v>
      </c>
      <c r="H29" s="266">
        <v>462617</v>
      </c>
      <c r="I29" s="270">
        <v>0</v>
      </c>
      <c r="J29" s="269">
        <v>310184</v>
      </c>
      <c r="K29" s="269">
        <v>25641</v>
      </c>
      <c r="L29" s="269">
        <v>223975</v>
      </c>
      <c r="M29" s="266">
        <v>4266261</v>
      </c>
      <c r="N29" s="102"/>
      <c r="O29" s="61"/>
      <c r="Y29" s="61">
        <f>C29-'2. Overall cum progress June Rf'!C29</f>
        <v>0</v>
      </c>
      <c r="Z29" s="61">
        <f>D29-'2. Overall cum progress June Rf'!D29</f>
        <v>0</v>
      </c>
      <c r="AA29" s="61">
        <f>E29-'2. Overall cum progress June Rf'!E29</f>
        <v>0</v>
      </c>
      <c r="AB29" s="61">
        <f>F29-'2. Overall cum progress June Rf'!F29</f>
        <v>127</v>
      </c>
      <c r="AC29" s="61">
        <f>G29-'2. Overall cum progress June Rf'!G29</f>
        <v>25850</v>
      </c>
      <c r="AD29" s="61">
        <f>H29-'2. Overall cum progress June Rf'!H29</f>
        <v>9246</v>
      </c>
      <c r="AE29" s="61">
        <f>I29-'2. Overall cum progress June Rf'!I29</f>
        <v>0</v>
      </c>
      <c r="AF29" s="61">
        <f>J29-'2. Overall cum progress June Rf'!J29</f>
        <v>264885</v>
      </c>
      <c r="AG29" s="61">
        <f>K29-'2. Overall cum progress June Rf'!K29</f>
        <v>0</v>
      </c>
      <c r="AH29" s="61">
        <f>L29-'2. Overall cum progress June Rf'!L29</f>
        <v>6296</v>
      </c>
      <c r="AI29" s="61">
        <f>M29-'2. Overall cum progress June Rf'!M29</f>
        <v>306404</v>
      </c>
    </row>
    <row r="30" spans="1:35" s="56" customFormat="1">
      <c r="A30" s="385"/>
      <c r="B30" s="274" t="s">
        <v>16</v>
      </c>
      <c r="C30" s="275">
        <v>7981</v>
      </c>
      <c r="D30" s="275">
        <v>621124</v>
      </c>
      <c r="E30" s="275">
        <v>2756</v>
      </c>
      <c r="F30" s="275">
        <v>36350</v>
      </c>
      <c r="G30" s="275">
        <v>5161885</v>
      </c>
      <c r="H30" s="275">
        <v>812545</v>
      </c>
      <c r="I30" s="275">
        <v>0</v>
      </c>
      <c r="J30" s="275">
        <v>357505</v>
      </c>
      <c r="K30" s="275">
        <v>58909</v>
      </c>
      <c r="L30" s="275">
        <v>501103</v>
      </c>
      <c r="M30" s="275">
        <v>7560158</v>
      </c>
      <c r="N30" s="102">
        <f>M30/1000000</f>
        <v>7.5601580000000004</v>
      </c>
      <c r="O30" s="61"/>
      <c r="Y30" s="61">
        <f>C30-'2. Overall cum progress June Rf'!C30</f>
        <v>0</v>
      </c>
      <c r="Z30" s="61">
        <f>D30-'2. Overall cum progress June Rf'!D30</f>
        <v>0</v>
      </c>
      <c r="AA30" s="61">
        <f>E30-'2. Overall cum progress June Rf'!E30</f>
        <v>0</v>
      </c>
      <c r="AB30" s="61">
        <f>F30-'2. Overall cum progress June Rf'!F30</f>
        <v>1967</v>
      </c>
      <c r="AC30" s="61">
        <f>G30-'2. Overall cum progress June Rf'!G30</f>
        <v>136084</v>
      </c>
      <c r="AD30" s="61">
        <f>H30-'2. Overall cum progress June Rf'!H30</f>
        <v>17158</v>
      </c>
      <c r="AE30" s="61">
        <f>I30-'2. Overall cum progress June Rf'!I30</f>
        <v>0</v>
      </c>
      <c r="AF30" s="61">
        <f>J30-'2. Overall cum progress June Rf'!J30</f>
        <v>6295</v>
      </c>
      <c r="AG30" s="61">
        <f>K30-'2. Overall cum progress June Rf'!K30</f>
        <v>0</v>
      </c>
      <c r="AH30" s="61">
        <f>L30-'2. Overall cum progress June Rf'!L30</f>
        <v>17054</v>
      </c>
      <c r="AI30" s="61">
        <f>M30-'2. Overall cum progress June Rf'!M30</f>
        <v>178558</v>
      </c>
    </row>
    <row r="31" spans="1:35" s="61" customFormat="1">
      <c r="A31" s="395" t="s">
        <v>207</v>
      </c>
      <c r="B31" s="271" t="s">
        <v>17</v>
      </c>
      <c r="C31" s="266">
        <v>0</v>
      </c>
      <c r="D31" s="266">
        <v>74813</v>
      </c>
      <c r="E31" s="269">
        <v>0</v>
      </c>
      <c r="F31" s="269">
        <v>26813</v>
      </c>
      <c r="G31" s="278">
        <v>925823</v>
      </c>
      <c r="H31" s="266">
        <v>0</v>
      </c>
      <c r="I31" s="270">
        <v>0</v>
      </c>
      <c r="J31" s="269">
        <v>280136</v>
      </c>
      <c r="K31" s="269">
        <v>5834</v>
      </c>
      <c r="L31" s="269">
        <v>86533</v>
      </c>
      <c r="M31" s="266">
        <v>1399952</v>
      </c>
      <c r="N31" s="61">
        <f>M31/M33%</f>
        <v>33.556330786640096</v>
      </c>
      <c r="R31" s="56"/>
      <c r="Y31" s="61">
        <f>C31-'2. Overall cum progress June Rf'!C31</f>
        <v>0</v>
      </c>
      <c r="Z31" s="61">
        <f>D31-'2. Overall cum progress June Rf'!D31</f>
        <v>0</v>
      </c>
      <c r="AA31" s="61">
        <f>E31-'2. Overall cum progress June Rf'!E31</f>
        <v>0</v>
      </c>
      <c r="AB31" s="61">
        <f>F31-'2. Overall cum progress June Rf'!F31</f>
        <v>1891</v>
      </c>
      <c r="AC31" s="61">
        <f>G31-'2. Overall cum progress June Rf'!G31</f>
        <v>46502</v>
      </c>
      <c r="AD31" s="61">
        <f>H31-'2. Overall cum progress June Rf'!H31</f>
        <v>0</v>
      </c>
      <c r="AE31" s="61">
        <f>I31-'2. Overall cum progress June Rf'!I31</f>
        <v>0</v>
      </c>
      <c r="AF31" s="61">
        <f>J31-'2. Overall cum progress June Rf'!J31</f>
        <v>27911</v>
      </c>
      <c r="AG31" s="61">
        <f>K31-'2. Overall cum progress June Rf'!K31</f>
        <v>0</v>
      </c>
      <c r="AH31" s="61">
        <f>L31-'2. Overall cum progress June Rf'!L31</f>
        <v>0</v>
      </c>
      <c r="AI31" s="61">
        <f>M31-'2. Overall cum progress June Rf'!M31</f>
        <v>76304</v>
      </c>
    </row>
    <row r="32" spans="1:35" s="61" customFormat="1">
      <c r="A32" s="395"/>
      <c r="B32" s="273" t="s">
        <v>18</v>
      </c>
      <c r="C32" s="266">
        <v>0</v>
      </c>
      <c r="D32" s="266">
        <v>546311</v>
      </c>
      <c r="E32" s="269">
        <v>0</v>
      </c>
      <c r="F32" s="269">
        <v>7553</v>
      </c>
      <c r="G32" s="278">
        <v>2083148</v>
      </c>
      <c r="H32" s="266">
        <v>0</v>
      </c>
      <c r="I32" s="270">
        <v>0</v>
      </c>
      <c r="J32" s="269">
        <v>40601</v>
      </c>
      <c r="K32" s="269">
        <v>21566</v>
      </c>
      <c r="L32" s="269">
        <v>72815</v>
      </c>
      <c r="M32" s="266">
        <v>2771994</v>
      </c>
      <c r="R32" s="56"/>
      <c r="Y32" s="61">
        <f>C32-'2. Overall cum progress June Rf'!C32</f>
        <v>0</v>
      </c>
      <c r="Z32" s="61">
        <f>D32-'2. Overall cum progress June Rf'!D32</f>
        <v>0</v>
      </c>
      <c r="AA32" s="61">
        <f>E32-'2. Overall cum progress June Rf'!E32</f>
        <v>0</v>
      </c>
      <c r="AB32" s="61">
        <f>F32-'2. Overall cum progress June Rf'!F32</f>
        <v>140</v>
      </c>
      <c r="AC32" s="61">
        <f>G32-'2. Overall cum progress June Rf'!G32</f>
        <v>22404</v>
      </c>
      <c r="AD32" s="61">
        <f>H32-'2. Overall cum progress June Rf'!H32</f>
        <v>0</v>
      </c>
      <c r="AE32" s="61">
        <f>I32-'2. Overall cum progress June Rf'!I32</f>
        <v>0</v>
      </c>
      <c r="AF32" s="61">
        <f>J32-'2. Overall cum progress June Rf'!J32</f>
        <v>0</v>
      </c>
      <c r="AG32" s="61">
        <f>K32-'2. Overall cum progress June Rf'!K32</f>
        <v>0</v>
      </c>
      <c r="AH32" s="61">
        <f>L32-'2. Overall cum progress June Rf'!L32</f>
        <v>0</v>
      </c>
      <c r="AI32" s="61">
        <f>M32-'2. Overall cum progress June Rf'!M32</f>
        <v>22544</v>
      </c>
    </row>
    <row r="33" spans="1:35" s="61" customFormat="1">
      <c r="A33" s="395"/>
      <c r="B33" s="274" t="s">
        <v>16</v>
      </c>
      <c r="C33" s="275">
        <v>0</v>
      </c>
      <c r="D33" s="275">
        <v>621124</v>
      </c>
      <c r="E33" s="275">
        <v>0</v>
      </c>
      <c r="F33" s="275">
        <v>34366</v>
      </c>
      <c r="G33" s="275">
        <v>3008971</v>
      </c>
      <c r="H33" s="275">
        <v>0</v>
      </c>
      <c r="I33" s="275">
        <v>0</v>
      </c>
      <c r="J33" s="275">
        <v>320737</v>
      </c>
      <c r="K33" s="275">
        <v>27400</v>
      </c>
      <c r="L33" s="275">
        <v>159348</v>
      </c>
      <c r="M33" s="275">
        <v>4171946</v>
      </c>
      <c r="N33" s="60">
        <f>M33/1000000</f>
        <v>4.1719460000000002</v>
      </c>
      <c r="R33" s="56"/>
      <c r="Y33" s="61">
        <f>C33-'2. Overall cum progress June Rf'!C33</f>
        <v>0</v>
      </c>
      <c r="Z33" s="61">
        <f>D33-'2. Overall cum progress June Rf'!D33</f>
        <v>0</v>
      </c>
      <c r="AA33" s="61">
        <f>E33-'2. Overall cum progress June Rf'!E33</f>
        <v>0</v>
      </c>
      <c r="AB33" s="61">
        <f>F33-'2. Overall cum progress June Rf'!F33</f>
        <v>2031</v>
      </c>
      <c r="AC33" s="61">
        <f>G33-'2. Overall cum progress June Rf'!G33</f>
        <v>68906</v>
      </c>
      <c r="AD33" s="61">
        <f>H33-'2. Overall cum progress June Rf'!H33</f>
        <v>0</v>
      </c>
      <c r="AE33" s="61">
        <f>I33-'2. Overall cum progress June Rf'!I33</f>
        <v>0</v>
      </c>
      <c r="AF33" s="61">
        <f>J33-'2. Overall cum progress June Rf'!J33</f>
        <v>27911</v>
      </c>
      <c r="AG33" s="61">
        <f>K33-'2. Overall cum progress June Rf'!K33</f>
        <v>0</v>
      </c>
      <c r="AH33" s="61">
        <f>L33-'2. Overall cum progress June Rf'!L33</f>
        <v>0</v>
      </c>
      <c r="AI33" s="61">
        <f>M33-'2. Overall cum progress June Rf'!M33</f>
        <v>98848</v>
      </c>
    </row>
    <row r="34" spans="1:35" s="56" customFormat="1" ht="13.15" customHeight="1">
      <c r="A34" s="397" t="s">
        <v>239</v>
      </c>
      <c r="B34" s="273" t="s">
        <v>17</v>
      </c>
      <c r="C34" s="266">
        <v>0</v>
      </c>
      <c r="D34" s="266">
        <v>74813</v>
      </c>
      <c r="E34" s="269">
        <v>0</v>
      </c>
      <c r="F34" s="269">
        <v>26813</v>
      </c>
      <c r="G34" s="278">
        <v>1843533</v>
      </c>
      <c r="H34" s="266">
        <v>0</v>
      </c>
      <c r="I34" s="270">
        <v>0</v>
      </c>
      <c r="J34" s="269">
        <v>362661</v>
      </c>
      <c r="K34" s="269">
        <v>35004</v>
      </c>
      <c r="L34" s="269">
        <v>88190</v>
      </c>
      <c r="M34" s="266">
        <v>2431014</v>
      </c>
      <c r="N34" s="60">
        <f>M34/1000000</f>
        <v>2.4310139999999998</v>
      </c>
      <c r="O34" s="61"/>
      <c r="Y34" s="61">
        <f>C34-'2. Overall cum progress June Rf'!C34</f>
        <v>0</v>
      </c>
      <c r="Z34" s="61">
        <f>D34-'2. Overall cum progress June Rf'!D34</f>
        <v>0</v>
      </c>
      <c r="AA34" s="61">
        <f>E34-'2. Overall cum progress June Rf'!E34</f>
        <v>0</v>
      </c>
      <c r="AB34" s="61">
        <f>F34-'2. Overall cum progress June Rf'!F34</f>
        <v>1891</v>
      </c>
      <c r="AC34" s="61">
        <f>G34-'2. Overall cum progress June Rf'!G34</f>
        <v>55811</v>
      </c>
      <c r="AD34" s="61">
        <f>H34-'2. Overall cum progress June Rf'!H34</f>
        <v>0</v>
      </c>
      <c r="AE34" s="61">
        <f>I34-'2. Overall cum progress June Rf'!I34</f>
        <v>0</v>
      </c>
      <c r="AF34" s="61">
        <f>J34-'2. Overall cum progress June Rf'!J34</f>
        <v>810</v>
      </c>
      <c r="AG34" s="61">
        <f>K34-'2. Overall cum progress June Rf'!K34</f>
        <v>0</v>
      </c>
      <c r="AH34" s="61">
        <f>L34-'2. Overall cum progress June Rf'!L34</f>
        <v>0</v>
      </c>
      <c r="AI34" s="61">
        <f>M34-'2. Overall cum progress June Rf'!M34</f>
        <v>58512</v>
      </c>
    </row>
    <row r="35" spans="1:35" s="56" customFormat="1">
      <c r="A35" s="397"/>
      <c r="B35" s="273" t="s">
        <v>18</v>
      </c>
      <c r="C35" s="266">
        <v>0</v>
      </c>
      <c r="D35" s="266">
        <v>546311</v>
      </c>
      <c r="E35" s="269">
        <v>0</v>
      </c>
      <c r="F35" s="269">
        <v>7553</v>
      </c>
      <c r="G35" s="278">
        <v>2922706</v>
      </c>
      <c r="H35" s="266">
        <v>0</v>
      </c>
      <c r="I35" s="270">
        <v>0</v>
      </c>
      <c r="J35" s="269">
        <v>257340</v>
      </c>
      <c r="K35" s="269">
        <v>129396</v>
      </c>
      <c r="L35" s="269">
        <v>73703</v>
      </c>
      <c r="M35" s="266">
        <v>3937009</v>
      </c>
      <c r="N35" s="74"/>
      <c r="O35" s="61"/>
      <c r="Y35" s="61">
        <f>C35-'2. Overall cum progress June Rf'!C35</f>
        <v>0</v>
      </c>
      <c r="Z35" s="61">
        <f>D35-'2. Overall cum progress June Rf'!D35</f>
        <v>0</v>
      </c>
      <c r="AA35" s="61">
        <f>E35-'2. Overall cum progress June Rf'!E35</f>
        <v>0</v>
      </c>
      <c r="AB35" s="61">
        <f>F35-'2. Overall cum progress June Rf'!F35</f>
        <v>140</v>
      </c>
      <c r="AC35" s="61">
        <f>G35-'2. Overall cum progress June Rf'!G35</f>
        <v>44833</v>
      </c>
      <c r="AD35" s="61">
        <f>H35-'2. Overall cum progress June Rf'!H35</f>
        <v>0</v>
      </c>
      <c r="AE35" s="61">
        <f>I35-'2. Overall cum progress June Rf'!I35</f>
        <v>0</v>
      </c>
      <c r="AF35" s="61">
        <f>J35-'2. Overall cum progress June Rf'!J35</f>
        <v>0</v>
      </c>
      <c r="AG35" s="61">
        <f>K35-'2. Overall cum progress June Rf'!K35</f>
        <v>0</v>
      </c>
      <c r="AH35" s="61">
        <f>L35-'2. Overall cum progress June Rf'!L35</f>
        <v>0</v>
      </c>
      <c r="AI35" s="61">
        <f>M35-'2. Overall cum progress June Rf'!M35</f>
        <v>44973</v>
      </c>
    </row>
    <row r="36" spans="1:35" s="56" customFormat="1">
      <c r="A36" s="397"/>
      <c r="B36" s="274" t="s">
        <v>16</v>
      </c>
      <c r="C36" s="275">
        <v>0</v>
      </c>
      <c r="D36" s="275">
        <v>621124</v>
      </c>
      <c r="E36" s="275">
        <v>0</v>
      </c>
      <c r="F36" s="275">
        <v>34366</v>
      </c>
      <c r="G36" s="275">
        <v>4766239</v>
      </c>
      <c r="H36" s="275">
        <v>0</v>
      </c>
      <c r="I36" s="275">
        <v>0</v>
      </c>
      <c r="J36" s="275">
        <v>620001</v>
      </c>
      <c r="K36" s="275">
        <v>164400</v>
      </c>
      <c r="L36" s="275">
        <v>161893</v>
      </c>
      <c r="M36" s="275">
        <v>6368023</v>
      </c>
      <c r="N36" s="60">
        <f>M36/1000000</f>
        <v>6.368023</v>
      </c>
      <c r="O36" s="61"/>
      <c r="Y36" s="61">
        <f>C36-'2. Overall cum progress June Rf'!C36</f>
        <v>0</v>
      </c>
      <c r="Z36" s="61">
        <f>D36-'2. Overall cum progress June Rf'!D36</f>
        <v>0</v>
      </c>
      <c r="AA36" s="61">
        <f>E36-'2. Overall cum progress June Rf'!E36</f>
        <v>0</v>
      </c>
      <c r="AB36" s="61">
        <f>F36-'2. Overall cum progress June Rf'!F36</f>
        <v>2031</v>
      </c>
      <c r="AC36" s="61">
        <f>G36-'2. Overall cum progress June Rf'!G36</f>
        <v>100644</v>
      </c>
      <c r="AD36" s="61">
        <f>H36-'2. Overall cum progress June Rf'!H36</f>
        <v>0</v>
      </c>
      <c r="AE36" s="61">
        <f>I36-'2. Overall cum progress June Rf'!I36</f>
        <v>0</v>
      </c>
      <c r="AF36" s="61">
        <f>J36-'2. Overall cum progress June Rf'!J36</f>
        <v>810</v>
      </c>
      <c r="AG36" s="61">
        <f>K36-'2. Overall cum progress June Rf'!K36</f>
        <v>0</v>
      </c>
      <c r="AH36" s="61">
        <f>L36-'2. Overall cum progress June Rf'!L36</f>
        <v>0</v>
      </c>
      <c r="AI36" s="61">
        <f>M36-'2. Overall cum progress June Rf'!M36</f>
        <v>103485</v>
      </c>
    </row>
    <row r="37" spans="1:35" s="62" customFormat="1">
      <c r="A37" s="398" t="s">
        <v>288</v>
      </c>
      <c r="B37" s="399"/>
      <c r="C37" s="266">
        <v>1637</v>
      </c>
      <c r="D37" s="266">
        <v>3576</v>
      </c>
      <c r="E37" s="269">
        <v>1447</v>
      </c>
      <c r="F37" s="269">
        <v>670</v>
      </c>
      <c r="G37" s="278">
        <v>30459</v>
      </c>
      <c r="H37" s="266">
        <v>6433</v>
      </c>
      <c r="I37" s="270">
        <v>0</v>
      </c>
      <c r="J37" s="269">
        <v>39741</v>
      </c>
      <c r="K37" s="269">
        <v>8892</v>
      </c>
      <c r="L37" s="269">
        <v>61245</v>
      </c>
      <c r="M37" s="266">
        <v>154100</v>
      </c>
      <c r="N37" s="74"/>
      <c r="O37" s="61"/>
      <c r="R37" s="56"/>
      <c r="Y37" s="61">
        <f>C37-'2. Overall cum progress June Rf'!C37</f>
        <v>0</v>
      </c>
      <c r="Z37" s="61">
        <f>D37-'2. Overall cum progress June Rf'!D37</f>
        <v>0</v>
      </c>
      <c r="AA37" s="61">
        <f>E37-'2. Overall cum progress June Rf'!E37</f>
        <v>-30</v>
      </c>
      <c r="AB37" s="61">
        <f>F37-'2. Overall cum progress June Rf'!F37</f>
        <v>0</v>
      </c>
      <c r="AC37" s="61">
        <f>G37-'2. Overall cum progress June Rf'!G37</f>
        <v>234</v>
      </c>
      <c r="AD37" s="61">
        <f>H37-'2. Overall cum progress June Rf'!H37</f>
        <v>0</v>
      </c>
      <c r="AE37" s="61">
        <f>I37-'2. Overall cum progress June Rf'!I37</f>
        <v>0</v>
      </c>
      <c r="AF37" s="61">
        <f>J37-'2. Overall cum progress June Rf'!J37</f>
        <v>135</v>
      </c>
      <c r="AG37" s="61">
        <f>K37-'2. Overall cum progress June Rf'!K37</f>
        <v>179</v>
      </c>
      <c r="AH37" s="61">
        <f>L37-'2. Overall cum progress June Rf'!L37</f>
        <v>456</v>
      </c>
      <c r="AI37" s="61">
        <f>M37-'2. Overall cum progress June Rf'!M37</f>
        <v>974</v>
      </c>
    </row>
    <row r="38" spans="1:35" s="62" customFormat="1">
      <c r="A38" s="398" t="s">
        <v>289</v>
      </c>
      <c r="B38" s="399"/>
      <c r="C38" s="266">
        <v>1637</v>
      </c>
      <c r="D38" s="266">
        <v>3576</v>
      </c>
      <c r="E38" s="269">
        <v>1281</v>
      </c>
      <c r="F38" s="269">
        <v>636</v>
      </c>
      <c r="G38" s="278">
        <v>29512</v>
      </c>
      <c r="H38" s="266">
        <v>6433</v>
      </c>
      <c r="I38" s="270">
        <v>16</v>
      </c>
      <c r="J38" s="269">
        <v>39741</v>
      </c>
      <c r="K38" s="269">
        <v>8470</v>
      </c>
      <c r="L38" s="269">
        <v>60250</v>
      </c>
      <c r="M38" s="266">
        <v>151552</v>
      </c>
      <c r="N38" s="74"/>
      <c r="O38" s="61"/>
      <c r="R38" s="56"/>
      <c r="Y38" s="61">
        <f>C38-'2. Overall cum progress June Rf'!C38</f>
        <v>0</v>
      </c>
      <c r="Z38" s="61">
        <f>D38-'2. Overall cum progress June Rf'!D38</f>
        <v>0</v>
      </c>
      <c r="AA38" s="61">
        <f>E38-'2. Overall cum progress June Rf'!E38</f>
        <v>16</v>
      </c>
      <c r="AB38" s="61">
        <f>F38-'2. Overall cum progress June Rf'!F38</f>
        <v>2</v>
      </c>
      <c r="AC38" s="61">
        <f>G38-'2. Overall cum progress June Rf'!G38</f>
        <v>284</v>
      </c>
      <c r="AD38" s="61">
        <f>H38-'2. Overall cum progress June Rf'!H38</f>
        <v>0</v>
      </c>
      <c r="AE38" s="61">
        <f>I38-'2. Overall cum progress June Rf'!I38</f>
        <v>0</v>
      </c>
      <c r="AF38" s="61">
        <f>J38-'2. Overall cum progress June Rf'!J38</f>
        <v>135</v>
      </c>
      <c r="AG38" s="61">
        <f>K38-'2. Overall cum progress June Rf'!K38</f>
        <v>120</v>
      </c>
      <c r="AH38" s="61">
        <f>L38-'2. Overall cum progress June Rf'!L38</f>
        <v>456</v>
      </c>
      <c r="AI38" s="61">
        <f>M38-'2. Overall cum progress June Rf'!M38</f>
        <v>1013</v>
      </c>
    </row>
    <row r="39" spans="1:35" s="63" customFormat="1">
      <c r="A39" s="398" t="s">
        <v>22</v>
      </c>
      <c r="B39" s="399"/>
      <c r="C39" s="266">
        <v>100347</v>
      </c>
      <c r="D39" s="266">
        <v>284440</v>
      </c>
      <c r="E39" s="269">
        <v>109647</v>
      </c>
      <c r="F39" s="269">
        <v>23182</v>
      </c>
      <c r="G39" s="278">
        <v>1312255</v>
      </c>
      <c r="H39" s="266">
        <v>674798</v>
      </c>
      <c r="I39" s="270">
        <v>0</v>
      </c>
      <c r="J39" s="269">
        <v>231315</v>
      </c>
      <c r="K39" s="269">
        <v>1743702</v>
      </c>
      <c r="L39" s="269">
        <v>414572</v>
      </c>
      <c r="M39" s="266">
        <v>4894258</v>
      </c>
      <c r="N39" s="60">
        <f>M39/1000000</f>
        <v>4.8942579999999998</v>
      </c>
      <c r="O39" s="61">
        <f>476*15</f>
        <v>7140</v>
      </c>
      <c r="R39" s="56"/>
      <c r="Y39" s="61">
        <f>C39-'2. Overall cum progress June Rf'!C39</f>
        <v>0</v>
      </c>
      <c r="Z39" s="61">
        <f>D39-'2. Overall cum progress June Rf'!D39</f>
        <v>0</v>
      </c>
      <c r="AA39" s="61">
        <f>E39-'2. Overall cum progress June Rf'!E39</f>
        <v>0</v>
      </c>
      <c r="AB39" s="61">
        <f>F39-'2. Overall cum progress June Rf'!F39</f>
        <v>450</v>
      </c>
      <c r="AC39" s="61">
        <f>G39-'2. Overall cum progress June Rf'!G39</f>
        <v>9943</v>
      </c>
      <c r="AD39" s="61">
        <f>H39-'2. Overall cum progress June Rf'!H39</f>
        <v>0</v>
      </c>
      <c r="AE39" s="61">
        <f>I39-'2. Overall cum progress June Rf'!I39</f>
        <v>0</v>
      </c>
      <c r="AF39" s="61">
        <f>J39-'2. Overall cum progress June Rf'!J39</f>
        <v>723</v>
      </c>
      <c r="AG39" s="61">
        <f>K39-'2. Overall cum progress June Rf'!K39</f>
        <v>67208</v>
      </c>
      <c r="AH39" s="61">
        <f>L39-'2. Overall cum progress June Rf'!L39</f>
        <v>3192</v>
      </c>
      <c r="AI39" s="61">
        <f>M39-'2. Overall cum progress June Rf'!M39</f>
        <v>81516</v>
      </c>
    </row>
    <row r="40" spans="1:35" s="63" customFormat="1">
      <c r="A40" s="400" t="s">
        <v>237</v>
      </c>
      <c r="B40" s="401"/>
      <c r="C40" s="266">
        <v>100347</v>
      </c>
      <c r="D40" s="266">
        <v>284440</v>
      </c>
      <c r="E40" s="269">
        <v>87587</v>
      </c>
      <c r="F40" s="269">
        <v>22732</v>
      </c>
      <c r="G40" s="278">
        <v>1254951</v>
      </c>
      <c r="H40" s="266">
        <v>674798</v>
      </c>
      <c r="I40" s="270">
        <v>0</v>
      </c>
      <c r="J40" s="269">
        <v>231315</v>
      </c>
      <c r="K40" s="269">
        <v>1678054</v>
      </c>
      <c r="L40" s="269">
        <v>394603</v>
      </c>
      <c r="M40" s="266">
        <v>4728827</v>
      </c>
      <c r="N40" s="60"/>
      <c r="O40" s="61"/>
      <c r="R40" s="56"/>
      <c r="Y40" s="61">
        <f>C40-'2. Overall cum progress June Rf'!C40</f>
        <v>0</v>
      </c>
      <c r="Z40" s="61">
        <f>D40-'2. Overall cum progress June Rf'!D40</f>
        <v>0</v>
      </c>
      <c r="AA40" s="61">
        <f>E40-'2. Overall cum progress June Rf'!E40</f>
        <v>808</v>
      </c>
      <c r="AB40" s="61">
        <f>F40-'2. Overall cum progress June Rf'!F40</f>
        <v>25</v>
      </c>
      <c r="AC40" s="61">
        <f>G40-'2. Overall cum progress June Rf'!G40</f>
        <v>14379</v>
      </c>
      <c r="AD40" s="61">
        <f>H40-'2. Overall cum progress June Rf'!H40</f>
        <v>0</v>
      </c>
      <c r="AE40" s="61">
        <f>I40-'2. Overall cum progress June Rf'!I40</f>
        <v>0</v>
      </c>
      <c r="AF40" s="61">
        <f>J40-'2. Overall cum progress June Rf'!J40</f>
        <v>723</v>
      </c>
      <c r="AG40" s="61">
        <f>K40-'2. Overall cum progress June Rf'!K40</f>
        <v>68999</v>
      </c>
      <c r="AH40" s="61">
        <f>L40-'2. Overall cum progress June Rf'!L40</f>
        <v>3192</v>
      </c>
      <c r="AI40" s="61">
        <f>M40-'2. Overall cum progress June Rf'!M40</f>
        <v>88126</v>
      </c>
    </row>
    <row r="41" spans="1:35" s="64" customFormat="1">
      <c r="A41" s="402" t="s">
        <v>290</v>
      </c>
      <c r="B41" s="403"/>
      <c r="C41" s="266">
        <v>635.803</v>
      </c>
      <c r="D41" s="266">
        <v>1825.46</v>
      </c>
      <c r="E41" s="269">
        <v>753</v>
      </c>
      <c r="F41" s="269">
        <v>265</v>
      </c>
      <c r="G41" s="278">
        <v>7729.2635659999996</v>
      </c>
      <c r="H41" s="266">
        <v>1675.181</v>
      </c>
      <c r="I41" s="270">
        <v>0</v>
      </c>
      <c r="J41" s="269">
        <v>2619</v>
      </c>
      <c r="K41" s="269">
        <v>5742</v>
      </c>
      <c r="L41" s="269">
        <v>1018.025</v>
      </c>
      <c r="M41" s="266">
        <v>22262.732566000002</v>
      </c>
      <c r="N41" s="74">
        <f>M41/90</f>
        <v>247.3636951777778</v>
      </c>
      <c r="O41" s="103">
        <f>M41/85</f>
        <v>261.91450077647062</v>
      </c>
      <c r="R41" s="56"/>
      <c r="Y41" s="61">
        <f>C41-'2. Overall cum progress June Rf'!C41</f>
        <v>0</v>
      </c>
      <c r="Z41" s="61">
        <f>D41-'2. Overall cum progress June Rf'!D41</f>
        <v>0</v>
      </c>
      <c r="AA41" s="61">
        <f>E41-'2. Overall cum progress June Rf'!E41</f>
        <v>0</v>
      </c>
      <c r="AB41" s="61">
        <f>F41-'2. Overall cum progress June Rf'!F41</f>
        <v>0</v>
      </c>
      <c r="AC41" s="61">
        <f>G41-'2. Overall cum progress June Rf'!G41</f>
        <v>169.96403499999997</v>
      </c>
      <c r="AD41" s="61">
        <f>H41-'2. Overall cum progress June Rf'!H41</f>
        <v>0</v>
      </c>
      <c r="AE41" s="61">
        <f>I41-'2. Overall cum progress June Rf'!I41</f>
        <v>0</v>
      </c>
      <c r="AF41" s="61">
        <f>J41-'2. Overall cum progress June Rf'!J41</f>
        <v>23</v>
      </c>
      <c r="AG41" s="61">
        <f>K41-'2. Overall cum progress June Rf'!K41</f>
        <v>731</v>
      </c>
      <c r="AH41" s="61">
        <f>L41-'2. Overall cum progress June Rf'!L41</f>
        <v>6.7799999999999727</v>
      </c>
      <c r="AI41" s="61">
        <f>M41-'2. Overall cum progress June Rf'!M41</f>
        <v>930.74403500000335</v>
      </c>
    </row>
    <row r="42" spans="1:35" s="64" customFormat="1">
      <c r="A42" s="404" t="s">
        <v>291</v>
      </c>
      <c r="B42" s="405"/>
      <c r="C42" s="266">
        <v>635.803</v>
      </c>
      <c r="D42" s="266">
        <v>1825.46</v>
      </c>
      <c r="E42" s="269">
        <v>665</v>
      </c>
      <c r="F42" s="269">
        <v>246</v>
      </c>
      <c r="G42" s="278">
        <v>6831.2744519999997</v>
      </c>
      <c r="H42" s="266">
        <v>1675.181</v>
      </c>
      <c r="I42" s="270">
        <v>20</v>
      </c>
      <c r="J42" s="269">
        <v>2619</v>
      </c>
      <c r="K42" s="269">
        <v>5001</v>
      </c>
      <c r="L42" s="269">
        <v>972.47399999999993</v>
      </c>
      <c r="M42" s="266">
        <v>20491.192451999999</v>
      </c>
      <c r="N42" s="74"/>
      <c r="O42" s="103"/>
      <c r="R42" s="56"/>
      <c r="Y42" s="61">
        <f>C42-'2. Overall cum progress June Rf'!C42</f>
        <v>0</v>
      </c>
      <c r="Z42" s="61">
        <f>D42-'2. Overall cum progress June Rf'!D42</f>
        <v>0</v>
      </c>
      <c r="AA42" s="61">
        <f>E42-'2. Overall cum progress June Rf'!E42</f>
        <v>9</v>
      </c>
      <c r="AB42" s="61">
        <f>F42-'2. Overall cum progress June Rf'!F42</f>
        <v>1</v>
      </c>
      <c r="AC42" s="61">
        <f>G42-'2. Overall cum progress June Rf'!G42</f>
        <v>139.29461499999979</v>
      </c>
      <c r="AD42" s="61">
        <f>H42-'2. Overall cum progress June Rf'!H42</f>
        <v>0</v>
      </c>
      <c r="AE42" s="61">
        <f>I42-'2. Overall cum progress June Rf'!I42</f>
        <v>0</v>
      </c>
      <c r="AF42" s="61">
        <f>J42-'2. Overall cum progress June Rf'!J42</f>
        <v>23</v>
      </c>
      <c r="AG42" s="61">
        <f>K42-'2. Overall cum progress June Rf'!K42</f>
        <v>281</v>
      </c>
      <c r="AH42" s="61">
        <f>L42-'2. Overall cum progress June Rf'!L42</f>
        <v>6.7799999999999727</v>
      </c>
      <c r="AI42" s="61">
        <f>M42-'2. Overall cum progress June Rf'!M42</f>
        <v>460.07461499999772</v>
      </c>
    </row>
    <row r="43" spans="1:35" s="65" customFormat="1">
      <c r="A43" s="406" t="s">
        <v>23</v>
      </c>
      <c r="B43" s="407" t="s">
        <v>24</v>
      </c>
      <c r="C43" s="266">
        <v>355</v>
      </c>
      <c r="D43" s="266">
        <v>867</v>
      </c>
      <c r="E43" s="269">
        <v>141</v>
      </c>
      <c r="F43" s="269">
        <v>3</v>
      </c>
      <c r="G43" s="278">
        <v>545</v>
      </c>
      <c r="H43" s="266">
        <v>186</v>
      </c>
      <c r="I43" s="270">
        <v>25</v>
      </c>
      <c r="J43" s="269">
        <v>3</v>
      </c>
      <c r="K43" s="269">
        <v>89</v>
      </c>
      <c r="L43" s="269">
        <v>113</v>
      </c>
      <c r="M43" s="266">
        <v>2327</v>
      </c>
      <c r="N43" s="74"/>
      <c r="O43" s="61"/>
      <c r="R43" s="56"/>
      <c r="Y43" s="61">
        <f>C43-'2. Overall cum progress June Rf'!C43</f>
        <v>0</v>
      </c>
      <c r="Z43" s="61">
        <f>D43-'2. Overall cum progress June Rf'!D43</f>
        <v>0</v>
      </c>
      <c r="AA43" s="61">
        <f>E43-'2. Overall cum progress June Rf'!E43</f>
        <v>0</v>
      </c>
      <c r="AB43" s="61">
        <f>F43-'2. Overall cum progress June Rf'!F43</f>
        <v>0</v>
      </c>
      <c r="AC43" s="61">
        <f>G43-'2. Overall cum progress June Rf'!G43</f>
        <v>0</v>
      </c>
      <c r="AD43" s="61">
        <f>H43-'2. Overall cum progress June Rf'!H43</f>
        <v>0</v>
      </c>
      <c r="AE43" s="61">
        <f>I43-'2. Overall cum progress June Rf'!I43</f>
        <v>0</v>
      </c>
      <c r="AF43" s="61">
        <f>J43-'2. Overall cum progress June Rf'!J43</f>
        <v>0</v>
      </c>
      <c r="AG43" s="61">
        <f>K43-'2. Overall cum progress June Rf'!K43</f>
        <v>0</v>
      </c>
      <c r="AH43" s="61">
        <f>L43-'2. Overall cum progress June Rf'!L43</f>
        <v>0</v>
      </c>
      <c r="AI43" s="61">
        <f>M43-'2. Overall cum progress June Rf'!M43</f>
        <v>0</v>
      </c>
    </row>
    <row r="44" spans="1:35" s="56" customFormat="1">
      <c r="A44" s="385" t="s">
        <v>25</v>
      </c>
      <c r="B44" s="288" t="s">
        <v>24</v>
      </c>
      <c r="C44" s="266">
        <v>11370</v>
      </c>
      <c r="D44" s="266">
        <v>2900</v>
      </c>
      <c r="E44" s="269">
        <v>4453</v>
      </c>
      <c r="F44" s="269">
        <v>780</v>
      </c>
      <c r="G44" s="278">
        <v>9852</v>
      </c>
      <c r="H44" s="266">
        <v>5891</v>
      </c>
      <c r="I44" s="270">
        <v>3526</v>
      </c>
      <c r="J44" s="269">
        <v>288</v>
      </c>
      <c r="K44" s="269">
        <v>2182</v>
      </c>
      <c r="L44" s="269">
        <v>1947</v>
      </c>
      <c r="M44" s="266">
        <v>43189</v>
      </c>
      <c r="N44" s="74"/>
      <c r="O44" s="61"/>
      <c r="Y44" s="61">
        <f>C44-'2. Overall cum progress June Rf'!C44</f>
        <v>0</v>
      </c>
      <c r="Z44" s="61">
        <f>D44-'2. Overall cum progress June Rf'!D44</f>
        <v>0</v>
      </c>
      <c r="AA44" s="61">
        <f>E44-'2. Overall cum progress June Rf'!E44</f>
        <v>0</v>
      </c>
      <c r="AB44" s="61">
        <f>F44-'2. Overall cum progress June Rf'!F44</f>
        <v>0</v>
      </c>
      <c r="AC44" s="61">
        <f>G44-'2. Overall cum progress June Rf'!G44</f>
        <v>0</v>
      </c>
      <c r="AD44" s="61">
        <f>H44-'2. Overall cum progress June Rf'!H44</f>
        <v>1230</v>
      </c>
      <c r="AE44" s="61">
        <f>I44-'2. Overall cum progress June Rf'!I44</f>
        <v>0</v>
      </c>
      <c r="AF44" s="61">
        <f>J44-'2. Overall cum progress June Rf'!J44</f>
        <v>0</v>
      </c>
      <c r="AG44" s="61">
        <f>K44-'2. Overall cum progress June Rf'!K44</f>
        <v>0</v>
      </c>
      <c r="AH44" s="61">
        <f>L44-'2. Overall cum progress June Rf'!L44</f>
        <v>0</v>
      </c>
      <c r="AI44" s="61">
        <f>M44-'2. Overall cum progress June Rf'!M44</f>
        <v>1230</v>
      </c>
    </row>
    <row r="45" spans="1:35" s="56" customFormat="1">
      <c r="A45" s="385"/>
      <c r="B45" s="289" t="s">
        <v>26</v>
      </c>
      <c r="C45" s="266">
        <v>9922</v>
      </c>
      <c r="D45" s="266">
        <v>7375</v>
      </c>
      <c r="E45" s="269">
        <v>5543</v>
      </c>
      <c r="F45" s="269">
        <v>608</v>
      </c>
      <c r="G45" s="278">
        <v>10537</v>
      </c>
      <c r="H45" s="266">
        <v>4700</v>
      </c>
      <c r="I45" s="270">
        <v>5110</v>
      </c>
      <c r="J45" s="269">
        <v>605</v>
      </c>
      <c r="K45" s="269">
        <v>3046</v>
      </c>
      <c r="L45" s="269">
        <v>707</v>
      </c>
      <c r="M45" s="266">
        <v>48153</v>
      </c>
      <c r="N45" s="74"/>
      <c r="O45" s="61"/>
      <c r="Y45" s="61">
        <f>C45-'2. Overall cum progress June Rf'!C45</f>
        <v>0</v>
      </c>
      <c r="Z45" s="61">
        <f>D45-'2. Overall cum progress June Rf'!D45</f>
        <v>0</v>
      </c>
      <c r="AA45" s="61">
        <f>E45-'2. Overall cum progress June Rf'!E45</f>
        <v>0</v>
      </c>
      <c r="AB45" s="61">
        <f>F45-'2. Overall cum progress June Rf'!F45</f>
        <v>0</v>
      </c>
      <c r="AC45" s="61">
        <f>G45-'2. Overall cum progress June Rf'!G45</f>
        <v>0</v>
      </c>
      <c r="AD45" s="61">
        <f>H45-'2. Overall cum progress June Rf'!H45</f>
        <v>-1138</v>
      </c>
      <c r="AE45" s="61">
        <f>I45-'2. Overall cum progress June Rf'!I45</f>
        <v>0</v>
      </c>
      <c r="AF45" s="61">
        <f>J45-'2. Overall cum progress June Rf'!J45</f>
        <v>0</v>
      </c>
      <c r="AG45" s="61">
        <f>K45-'2. Overall cum progress June Rf'!K45</f>
        <v>0</v>
      </c>
      <c r="AH45" s="61">
        <f>L45-'2. Overall cum progress June Rf'!L45</f>
        <v>0</v>
      </c>
      <c r="AI45" s="61">
        <f>M45-'2. Overall cum progress June Rf'!M45</f>
        <v>-1138</v>
      </c>
    </row>
    <row r="46" spans="1:35" s="56" customFormat="1">
      <c r="A46" s="385"/>
      <c r="B46" s="290" t="s">
        <v>16</v>
      </c>
      <c r="C46" s="275">
        <v>21292</v>
      </c>
      <c r="D46" s="275">
        <v>10275</v>
      </c>
      <c r="E46" s="275">
        <v>9996</v>
      </c>
      <c r="F46" s="275">
        <v>1388</v>
      </c>
      <c r="G46" s="275">
        <v>20389</v>
      </c>
      <c r="H46" s="275">
        <v>10591</v>
      </c>
      <c r="I46" s="275">
        <v>8636</v>
      </c>
      <c r="J46" s="275">
        <v>893</v>
      </c>
      <c r="K46" s="275">
        <v>5228</v>
      </c>
      <c r="L46" s="275">
        <v>2654</v>
      </c>
      <c r="M46" s="275">
        <v>91342</v>
      </c>
      <c r="N46" s="75">
        <f>M44/M46%</f>
        <v>47.282739594053119</v>
      </c>
      <c r="O46" s="61"/>
      <c r="Y46" s="61">
        <f>C46-'2. Overall cum progress June Rf'!C46</f>
        <v>0</v>
      </c>
      <c r="Z46" s="61">
        <f>D46-'2. Overall cum progress June Rf'!D46</f>
        <v>0</v>
      </c>
      <c r="AA46" s="61">
        <f>E46-'2. Overall cum progress June Rf'!E46</f>
        <v>0</v>
      </c>
      <c r="AB46" s="61">
        <f>F46-'2. Overall cum progress June Rf'!F46</f>
        <v>0</v>
      </c>
      <c r="AC46" s="61">
        <f>G46-'2. Overall cum progress June Rf'!G46</f>
        <v>0</v>
      </c>
      <c r="AD46" s="61">
        <f>H46-'2. Overall cum progress June Rf'!H46</f>
        <v>92</v>
      </c>
      <c r="AE46" s="61">
        <f>I46-'2. Overall cum progress June Rf'!I46</f>
        <v>0</v>
      </c>
      <c r="AF46" s="61">
        <f>J46-'2. Overall cum progress June Rf'!J46</f>
        <v>0</v>
      </c>
      <c r="AG46" s="61">
        <f>K46-'2. Overall cum progress June Rf'!K46</f>
        <v>0</v>
      </c>
      <c r="AH46" s="61">
        <f>L46-'2. Overall cum progress June Rf'!L46</f>
        <v>0</v>
      </c>
      <c r="AI46" s="61">
        <f>M46-'2. Overall cum progress June Rf'!M46</f>
        <v>92</v>
      </c>
    </row>
    <row r="47" spans="1:35" s="56" customFormat="1">
      <c r="A47" s="408" t="s">
        <v>292</v>
      </c>
      <c r="B47" s="288" t="s">
        <v>17</v>
      </c>
      <c r="C47" s="266">
        <v>0</v>
      </c>
      <c r="D47" s="266">
        <v>0</v>
      </c>
      <c r="E47" s="269">
        <v>0</v>
      </c>
      <c r="F47" s="269">
        <v>0</v>
      </c>
      <c r="G47" s="278">
        <v>22888</v>
      </c>
      <c r="H47" s="266">
        <v>0</v>
      </c>
      <c r="I47" s="270">
        <v>0</v>
      </c>
      <c r="J47" s="269">
        <v>0</v>
      </c>
      <c r="K47" s="269">
        <v>3989</v>
      </c>
      <c r="L47" s="269">
        <v>0</v>
      </c>
      <c r="M47" s="266">
        <v>26877</v>
      </c>
      <c r="N47" s="74"/>
      <c r="O47" s="61"/>
      <c r="Y47" s="61">
        <f>C47-'2. Overall cum progress June Rf'!C47</f>
        <v>0</v>
      </c>
      <c r="Z47" s="61">
        <f>D47-'2. Overall cum progress June Rf'!D47</f>
        <v>0</v>
      </c>
      <c r="AA47" s="61">
        <f>E47-'2. Overall cum progress June Rf'!E47</f>
        <v>0</v>
      </c>
      <c r="AB47" s="61">
        <f>F47-'2. Overall cum progress June Rf'!F47</f>
        <v>0</v>
      </c>
      <c r="AC47" s="61">
        <f>G47-'2. Overall cum progress June Rf'!G47</f>
        <v>0</v>
      </c>
      <c r="AD47" s="61">
        <f>H47-'2. Overall cum progress June Rf'!H47</f>
        <v>0</v>
      </c>
      <c r="AE47" s="61">
        <f>I47-'2. Overall cum progress June Rf'!I47</f>
        <v>0</v>
      </c>
      <c r="AF47" s="61">
        <f>J47-'2. Overall cum progress June Rf'!J47</f>
        <v>0</v>
      </c>
      <c r="AG47" s="61">
        <f>K47-'2. Overall cum progress June Rf'!K47</f>
        <v>0</v>
      </c>
      <c r="AH47" s="61">
        <f>L47-'2. Overall cum progress June Rf'!L47</f>
        <v>0</v>
      </c>
      <c r="AI47" s="61">
        <f>M47-'2. Overall cum progress June Rf'!M47</f>
        <v>0</v>
      </c>
    </row>
    <row r="48" spans="1:35" s="56" customFormat="1">
      <c r="A48" s="408"/>
      <c r="B48" s="289" t="s">
        <v>18</v>
      </c>
      <c r="C48" s="266">
        <v>0</v>
      </c>
      <c r="D48" s="266">
        <v>0</v>
      </c>
      <c r="E48" s="269">
        <v>0</v>
      </c>
      <c r="F48" s="269">
        <v>0</v>
      </c>
      <c r="G48" s="278">
        <v>2494</v>
      </c>
      <c r="H48" s="266">
        <v>0</v>
      </c>
      <c r="I48" s="270">
        <v>0</v>
      </c>
      <c r="J48" s="269">
        <v>0</v>
      </c>
      <c r="K48" s="269">
        <v>722</v>
      </c>
      <c r="L48" s="269">
        <v>0</v>
      </c>
      <c r="M48" s="266">
        <v>3216</v>
      </c>
      <c r="N48" s="74"/>
      <c r="O48" s="61"/>
      <c r="Y48" s="61">
        <f>C48-'2. Overall cum progress June Rf'!C48</f>
        <v>0</v>
      </c>
      <c r="Z48" s="61">
        <f>D48-'2. Overall cum progress June Rf'!D48</f>
        <v>0</v>
      </c>
      <c r="AA48" s="61">
        <f>E48-'2. Overall cum progress June Rf'!E48</f>
        <v>0</v>
      </c>
      <c r="AB48" s="61">
        <f>F48-'2. Overall cum progress June Rf'!F48</f>
        <v>0</v>
      </c>
      <c r="AC48" s="61">
        <f>G48-'2. Overall cum progress June Rf'!G48</f>
        <v>0</v>
      </c>
      <c r="AD48" s="61">
        <f>H48-'2. Overall cum progress June Rf'!H48</f>
        <v>0</v>
      </c>
      <c r="AE48" s="61">
        <f>I48-'2. Overall cum progress June Rf'!I48</f>
        <v>0</v>
      </c>
      <c r="AF48" s="61">
        <f>J48-'2. Overall cum progress June Rf'!J48</f>
        <v>0</v>
      </c>
      <c r="AG48" s="61">
        <f>K48-'2. Overall cum progress June Rf'!K48</f>
        <v>0</v>
      </c>
      <c r="AH48" s="61">
        <f>L48-'2. Overall cum progress June Rf'!L48</f>
        <v>0</v>
      </c>
      <c r="AI48" s="61">
        <f>M48-'2. Overall cum progress June Rf'!M48</f>
        <v>0</v>
      </c>
    </row>
    <row r="49" spans="1:35" s="56" customFormat="1">
      <c r="A49" s="408"/>
      <c r="B49" s="290" t="s">
        <v>16</v>
      </c>
      <c r="C49" s="275">
        <v>0</v>
      </c>
      <c r="D49" s="275">
        <v>0</v>
      </c>
      <c r="E49" s="291">
        <v>0</v>
      </c>
      <c r="F49" s="275">
        <v>0</v>
      </c>
      <c r="G49" s="275">
        <v>25382</v>
      </c>
      <c r="H49" s="275">
        <v>0</v>
      </c>
      <c r="I49" s="275">
        <v>0</v>
      </c>
      <c r="J49" s="275">
        <v>0</v>
      </c>
      <c r="K49" s="275">
        <v>4711</v>
      </c>
      <c r="L49" s="275">
        <v>0</v>
      </c>
      <c r="M49" s="275">
        <v>30093</v>
      </c>
      <c r="N49" s="74"/>
      <c r="O49" s="61"/>
      <c r="Y49" s="61">
        <f>C49-'2. Overall cum progress June Rf'!C49</f>
        <v>0</v>
      </c>
      <c r="Z49" s="61">
        <f>D49-'2. Overall cum progress June Rf'!D49</f>
        <v>0</v>
      </c>
      <c r="AA49" s="61">
        <f>E49-'2. Overall cum progress June Rf'!E49</f>
        <v>0</v>
      </c>
      <c r="AB49" s="61">
        <f>F49-'2. Overall cum progress June Rf'!F49</f>
        <v>0</v>
      </c>
      <c r="AC49" s="61">
        <f>G49-'2. Overall cum progress June Rf'!G49</f>
        <v>0</v>
      </c>
      <c r="AD49" s="61">
        <f>H49-'2. Overall cum progress June Rf'!H49</f>
        <v>0</v>
      </c>
      <c r="AE49" s="61">
        <f>I49-'2. Overall cum progress June Rf'!I49</f>
        <v>0</v>
      </c>
      <c r="AF49" s="61">
        <f>J49-'2. Overall cum progress June Rf'!J49</f>
        <v>0</v>
      </c>
      <c r="AG49" s="61">
        <f>K49-'2. Overall cum progress June Rf'!K49</f>
        <v>0</v>
      </c>
      <c r="AH49" s="61">
        <f>L49-'2. Overall cum progress June Rf'!L49</f>
        <v>0</v>
      </c>
      <c r="AI49" s="61">
        <f>M49-'2. Overall cum progress June Rf'!M49</f>
        <v>0</v>
      </c>
    </row>
    <row r="50" spans="1:35" s="56" customFormat="1">
      <c r="A50" s="385" t="s">
        <v>293</v>
      </c>
      <c r="B50" s="288" t="s">
        <v>17</v>
      </c>
      <c r="C50" s="266">
        <v>31</v>
      </c>
      <c r="D50" s="266">
        <v>1243</v>
      </c>
      <c r="E50" s="269">
        <v>1688</v>
      </c>
      <c r="F50" s="269">
        <v>95</v>
      </c>
      <c r="G50" s="278">
        <v>3153</v>
      </c>
      <c r="H50" s="266">
        <v>8442</v>
      </c>
      <c r="I50" s="270">
        <v>410</v>
      </c>
      <c r="J50" s="269">
        <v>4777</v>
      </c>
      <c r="K50" s="269">
        <v>1066</v>
      </c>
      <c r="L50" s="269">
        <v>867</v>
      </c>
      <c r="M50" s="266">
        <v>21772</v>
      </c>
      <c r="N50" s="74"/>
      <c r="O50" s="61"/>
      <c r="Y50" s="61">
        <f>C50-'2. Overall cum progress June Rf'!C50</f>
        <v>0</v>
      </c>
      <c r="Z50" s="61">
        <f>D50-'2. Overall cum progress June Rf'!D50</f>
        <v>0</v>
      </c>
      <c r="AA50" s="61">
        <f>E50-'2. Overall cum progress June Rf'!E50</f>
        <v>0</v>
      </c>
      <c r="AB50" s="61">
        <f>F50-'2. Overall cum progress June Rf'!F50</f>
        <v>0</v>
      </c>
      <c r="AC50" s="61">
        <f>G50-'2. Overall cum progress June Rf'!G50</f>
        <v>0</v>
      </c>
      <c r="AD50" s="61">
        <f>H50-'2. Overall cum progress June Rf'!H50</f>
        <v>0</v>
      </c>
      <c r="AE50" s="61">
        <f>I50-'2. Overall cum progress June Rf'!I50</f>
        <v>0</v>
      </c>
      <c r="AF50" s="61">
        <f>J50-'2. Overall cum progress June Rf'!J50</f>
        <v>0</v>
      </c>
      <c r="AG50" s="61">
        <f>K50-'2. Overall cum progress June Rf'!K50</f>
        <v>0</v>
      </c>
      <c r="AH50" s="61">
        <f>L50-'2. Overall cum progress June Rf'!L50</f>
        <v>0</v>
      </c>
      <c r="AI50" s="61">
        <f>M50-'2. Overall cum progress June Rf'!M50</f>
        <v>0</v>
      </c>
    </row>
    <row r="51" spans="1:35" s="56" customFormat="1">
      <c r="A51" s="385"/>
      <c r="B51" s="289" t="s">
        <v>18</v>
      </c>
      <c r="C51" s="266">
        <v>0</v>
      </c>
      <c r="D51" s="266">
        <v>0</v>
      </c>
      <c r="E51" s="269"/>
      <c r="F51" s="269">
        <v>0</v>
      </c>
      <c r="G51" s="278">
        <v>0</v>
      </c>
      <c r="H51" s="266">
        <v>1770</v>
      </c>
      <c r="I51" s="270">
        <v>0</v>
      </c>
      <c r="J51" s="269">
        <v>0</v>
      </c>
      <c r="K51" s="269">
        <v>467</v>
      </c>
      <c r="L51" s="269">
        <v>675</v>
      </c>
      <c r="M51" s="266">
        <v>2912</v>
      </c>
      <c r="N51" s="74"/>
      <c r="O51" s="61"/>
      <c r="Y51" s="61">
        <f>C51-'2. Overall cum progress June Rf'!C51</f>
        <v>0</v>
      </c>
      <c r="Z51" s="61">
        <f>D51-'2. Overall cum progress June Rf'!D51</f>
        <v>0</v>
      </c>
      <c r="AA51" s="61">
        <f>E51-'2. Overall cum progress June Rf'!E51</f>
        <v>0</v>
      </c>
      <c r="AB51" s="61">
        <f>F51-'2. Overall cum progress June Rf'!F51</f>
        <v>0</v>
      </c>
      <c r="AC51" s="61">
        <f>G51-'2. Overall cum progress June Rf'!G51</f>
        <v>0</v>
      </c>
      <c r="AD51" s="61">
        <f>H51-'2. Overall cum progress June Rf'!H51</f>
        <v>0</v>
      </c>
      <c r="AE51" s="61">
        <f>I51-'2. Overall cum progress June Rf'!I51</f>
        <v>0</v>
      </c>
      <c r="AF51" s="61">
        <f>J51-'2. Overall cum progress June Rf'!J51</f>
        <v>0</v>
      </c>
      <c r="AG51" s="61">
        <f>K51-'2. Overall cum progress June Rf'!K51</f>
        <v>0</v>
      </c>
      <c r="AH51" s="61">
        <f>L51-'2. Overall cum progress June Rf'!L51</f>
        <v>0</v>
      </c>
      <c r="AI51" s="61">
        <f>M51-'2. Overall cum progress June Rf'!M51</f>
        <v>0</v>
      </c>
    </row>
    <row r="52" spans="1:35" s="56" customFormat="1" ht="13.5" thickBot="1">
      <c r="A52" s="396"/>
      <c r="B52" s="292" t="s">
        <v>16</v>
      </c>
      <c r="C52" s="275">
        <v>31</v>
      </c>
      <c r="D52" s="275">
        <v>1243</v>
      </c>
      <c r="E52" s="275">
        <v>1688</v>
      </c>
      <c r="F52" s="275">
        <v>95</v>
      </c>
      <c r="G52" s="275">
        <v>3153</v>
      </c>
      <c r="H52" s="275">
        <v>10212</v>
      </c>
      <c r="I52" s="275">
        <v>410</v>
      </c>
      <c r="J52" s="275">
        <v>4777</v>
      </c>
      <c r="K52" s="275">
        <v>1533</v>
      </c>
      <c r="L52" s="275">
        <v>1542</v>
      </c>
      <c r="M52" s="266">
        <v>24684</v>
      </c>
      <c r="N52" s="74"/>
      <c r="O52" s="61"/>
      <c r="Y52" s="61">
        <f>C52-'2. Overall cum progress June Rf'!C52</f>
        <v>0</v>
      </c>
      <c r="Z52" s="61">
        <f>D52-'2. Overall cum progress June Rf'!D52</f>
        <v>0</v>
      </c>
      <c r="AA52" s="61">
        <f>E52-'2. Overall cum progress June Rf'!E52</f>
        <v>0</v>
      </c>
      <c r="AB52" s="61">
        <f>F52-'2. Overall cum progress June Rf'!F52</f>
        <v>0</v>
      </c>
      <c r="AC52" s="61">
        <f>G52-'2. Overall cum progress June Rf'!G52</f>
        <v>0</v>
      </c>
      <c r="AD52" s="61">
        <f>H52-'2. Overall cum progress June Rf'!H52</f>
        <v>0</v>
      </c>
      <c r="AE52" s="61">
        <f>I52-'2. Overall cum progress June Rf'!I52</f>
        <v>0</v>
      </c>
      <c r="AF52" s="61">
        <f>J52-'2. Overall cum progress June Rf'!J52</f>
        <v>0</v>
      </c>
      <c r="AG52" s="61">
        <f>K52-'2. Overall cum progress June Rf'!K52</f>
        <v>0</v>
      </c>
      <c r="AH52" s="61">
        <f>L52-'2. Overall cum progress June Rf'!L52</f>
        <v>0</v>
      </c>
      <c r="AI52" s="61">
        <f>M52-'2. Overall cum progress June Rf'!M52</f>
        <v>0</v>
      </c>
    </row>
    <row r="53" spans="1:35">
      <c r="A53" s="298" t="s">
        <v>315</v>
      </c>
      <c r="B53" s="298"/>
      <c r="C53" s="298"/>
      <c r="D53" s="294"/>
      <c r="E53" s="269"/>
      <c r="F53" s="294"/>
      <c r="G53" s="299"/>
      <c r="H53" s="300"/>
      <c r="I53" s="301"/>
      <c r="J53" s="294"/>
      <c r="K53" s="266"/>
      <c r="L53" s="302"/>
      <c r="M53" s="294"/>
    </row>
    <row r="54" spans="1:35">
      <c r="A54" s="298" t="s">
        <v>320</v>
      </c>
      <c r="B54" s="298"/>
      <c r="C54" s="298"/>
      <c r="D54" s="294"/>
      <c r="E54" s="265"/>
      <c r="F54" s="294"/>
      <c r="G54" s="298"/>
      <c r="H54" s="300"/>
      <c r="I54" s="294"/>
      <c r="J54" s="294"/>
      <c r="K54" s="294"/>
      <c r="L54" s="294"/>
      <c r="M54" s="294"/>
    </row>
    <row r="55" spans="1:35">
      <c r="A55" s="303" t="s">
        <v>270</v>
      </c>
      <c r="B55" s="298"/>
      <c r="C55" s="298"/>
      <c r="D55" s="294"/>
      <c r="E55" s="265"/>
      <c r="F55" s="294"/>
      <c r="G55" s="294"/>
      <c r="H55" s="294"/>
      <c r="I55" s="294"/>
      <c r="J55" s="294"/>
      <c r="K55" s="294"/>
      <c r="L55" s="294"/>
      <c r="M55" s="294"/>
    </row>
    <row r="56" spans="1:35">
      <c r="E56" s="87"/>
    </row>
    <row r="57" spans="1:35">
      <c r="E57" s="139"/>
    </row>
  </sheetData>
  <sheetProtection password="CF7A" sheet="1" objects="1" scenarios="1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X1" sqref="X1:AH52"/>
    </sheetView>
  </sheetViews>
  <sheetFormatPr defaultRowHeight="12.75"/>
  <cols>
    <col min="1" max="1" width="30" style="67" customWidth="1"/>
    <col min="2" max="2" width="21.7109375" style="67" customWidth="1"/>
    <col min="3" max="3" width="9.7109375" style="67" bestFit="1" customWidth="1"/>
    <col min="4" max="4" width="10.7109375" style="53" bestFit="1" customWidth="1"/>
    <col min="5" max="5" width="10.7109375" style="142" bestFit="1" customWidth="1"/>
    <col min="6" max="6" width="12.7109375" style="53" customWidth="1"/>
    <col min="7" max="7" width="12.140625" style="53" bestFit="1" customWidth="1"/>
    <col min="8" max="8" width="14.7109375" style="53" customWidth="1"/>
    <col min="9" max="9" width="9.7109375" style="53" bestFit="1" customWidth="1"/>
    <col min="10" max="10" width="10.7109375" style="53" customWidth="1"/>
    <col min="11" max="11" width="12.140625" style="53" bestFit="1" customWidth="1"/>
    <col min="12" max="12" width="10.7109375" style="53" bestFit="1" customWidth="1"/>
    <col min="13" max="13" width="12.140625" style="53" bestFit="1" customWidth="1"/>
    <col min="14" max="14" width="10" style="53" bestFit="1" customWidth="1"/>
    <col min="15" max="15" width="13.140625" style="53" bestFit="1" customWidth="1"/>
    <col min="16" max="16" width="12.42578125" style="53" bestFit="1" customWidth="1"/>
    <col min="17" max="35" width="9.140625" style="53"/>
    <col min="36" max="36" width="10.85546875" style="53" bestFit="1" customWidth="1"/>
    <col min="37" max="16384" width="9.140625" style="53"/>
  </cols>
  <sheetData>
    <row r="1" spans="1:34" ht="13.5" thickBot="1">
      <c r="A1" s="106" t="s">
        <v>317</v>
      </c>
      <c r="B1" s="53"/>
      <c r="C1" s="53"/>
      <c r="D1" s="68"/>
      <c r="E1" s="143"/>
      <c r="F1" s="68"/>
      <c r="G1" s="52"/>
      <c r="H1" s="52"/>
      <c r="I1" s="68"/>
      <c r="J1" s="68"/>
      <c r="K1" s="68"/>
      <c r="L1" s="68"/>
      <c r="AC1" s="53" t="s">
        <v>321</v>
      </c>
    </row>
    <row r="2" spans="1:34" s="69" customFormat="1">
      <c r="A2" s="381" t="s">
        <v>0</v>
      </c>
      <c r="B2" s="382"/>
      <c r="C2" s="197" t="s">
        <v>271</v>
      </c>
      <c r="D2" s="197" t="s">
        <v>2</v>
      </c>
      <c r="E2" s="197" t="s">
        <v>3</v>
      </c>
      <c r="F2" s="197" t="s">
        <v>4</v>
      </c>
      <c r="G2" s="141" t="s">
        <v>5</v>
      </c>
      <c r="H2" s="197" t="s">
        <v>6</v>
      </c>
      <c r="I2" s="202" t="s">
        <v>7</v>
      </c>
      <c r="J2" s="197" t="s">
        <v>8</v>
      </c>
      <c r="K2" s="197" t="s">
        <v>9</v>
      </c>
      <c r="L2" s="197" t="s">
        <v>10</v>
      </c>
      <c r="M2" s="70" t="s">
        <v>16</v>
      </c>
    </row>
    <row r="3" spans="1:34" ht="13.5" customHeight="1">
      <c r="A3" s="54"/>
      <c r="B3" s="55"/>
      <c r="C3" s="55"/>
      <c r="D3" s="87"/>
      <c r="E3" s="87"/>
      <c r="F3" s="87"/>
      <c r="G3" s="87"/>
      <c r="H3" s="87"/>
      <c r="I3" s="87"/>
      <c r="J3" s="87"/>
      <c r="K3" s="87"/>
      <c r="L3" s="87"/>
      <c r="M3" s="87"/>
      <c r="X3" s="56" t="str">
        <f t="shared" ref="X3:AH3" si="0">C2</f>
        <v>AJKRSP+</v>
      </c>
      <c r="Y3" s="56" t="str">
        <f t="shared" si="0"/>
        <v>AKRSP</v>
      </c>
      <c r="Z3" s="56" t="str">
        <f t="shared" si="0"/>
        <v>BRSP</v>
      </c>
      <c r="AA3" s="56" t="str">
        <f t="shared" si="0"/>
        <v>GBTI</v>
      </c>
      <c r="AB3" s="56" t="str">
        <f t="shared" si="0"/>
        <v>NRSP</v>
      </c>
      <c r="AC3" s="56" t="str">
        <f t="shared" si="0"/>
        <v>PRSP</v>
      </c>
      <c r="AD3" s="56" t="str">
        <f t="shared" si="0"/>
        <v>SGA</v>
      </c>
      <c r="AE3" s="56" t="str">
        <f t="shared" si="0"/>
        <v>SRSO</v>
      </c>
      <c r="AF3" s="56" t="str">
        <f t="shared" si="0"/>
        <v>SRSP</v>
      </c>
      <c r="AG3" s="56" t="str">
        <f t="shared" si="0"/>
        <v>TRDP</v>
      </c>
      <c r="AH3" s="56" t="str">
        <f t="shared" si="0"/>
        <v xml:space="preserve">Total </v>
      </c>
    </row>
    <row r="4" spans="1:34" s="56" customFormat="1">
      <c r="A4" s="383" t="s">
        <v>220</v>
      </c>
      <c r="B4" s="383"/>
      <c r="C4" s="139">
        <f>'1.RSP Districts '!A210</f>
        <v>8</v>
      </c>
      <c r="D4" s="139">
        <f>'1.RSP Districts '!A211</f>
        <v>7</v>
      </c>
      <c r="E4" s="139">
        <f>'1.RSP Districts '!A212</f>
        <v>15</v>
      </c>
      <c r="F4" s="139">
        <f>'1.RSP Districts '!A213</f>
        <v>3</v>
      </c>
      <c r="G4" s="139">
        <f>'1.RSP Districts '!A214</f>
        <v>57</v>
      </c>
      <c r="H4" s="139">
        <f>'1.RSP Districts '!A215</f>
        <v>21</v>
      </c>
      <c r="I4" s="139">
        <f>'1.RSP Districts '!A216</f>
        <v>1</v>
      </c>
      <c r="J4" s="139">
        <f>'1.RSP Districts '!A217</f>
        <v>9</v>
      </c>
      <c r="K4" s="139">
        <f>'1.RSP Districts '!A218</f>
        <v>25</v>
      </c>
      <c r="L4" s="139">
        <f>'1.RSP Districts '!A219</f>
        <v>4</v>
      </c>
      <c r="M4" s="139">
        <f>'1.RSP Districts '!A232</f>
        <v>121</v>
      </c>
      <c r="N4" s="74"/>
      <c r="O4" s="61"/>
      <c r="X4" s="56">
        <f>C4-'2. Overall cum progress Mar Ref'!C4</f>
        <v>0</v>
      </c>
      <c r="Y4" s="56">
        <f>D4-'2. Overall cum progress Mar Ref'!D4</f>
        <v>0</v>
      </c>
      <c r="Z4" s="56">
        <f>E4-'2. Overall cum progress Mar Ref'!E4</f>
        <v>1</v>
      </c>
      <c r="AA4" s="56">
        <f>F4-'2. Overall cum progress Mar Ref'!F4</f>
        <v>0</v>
      </c>
      <c r="AB4" s="56">
        <f>G4-'2. Overall cum progress Mar Ref'!G4</f>
        <v>2</v>
      </c>
      <c r="AC4" s="56">
        <f>H4-'2. Overall cum progress Mar Ref'!H4</f>
        <v>0</v>
      </c>
      <c r="AD4" s="56">
        <f>I4-'2. Overall cum progress Mar Ref'!I4</f>
        <v>0</v>
      </c>
      <c r="AE4" s="56">
        <f>J4-'2. Overall cum progress Mar Ref'!J4</f>
        <v>0</v>
      </c>
      <c r="AF4" s="56">
        <f>K4-'2. Overall cum progress Mar Ref'!K4</f>
        <v>0</v>
      </c>
      <c r="AG4" s="56">
        <f>L4-'2. Overall cum progress Mar Ref'!L4</f>
        <v>0</v>
      </c>
      <c r="AH4" s="56">
        <f>M4-'2. Overall cum progress Mar Ref'!M4</f>
        <v>1</v>
      </c>
    </row>
    <row r="5" spans="1:34" s="56" customFormat="1">
      <c r="A5" s="384" t="s">
        <v>11</v>
      </c>
      <c r="B5" s="383"/>
      <c r="C5" s="139">
        <f>'1.RSP Districts '!E210</f>
        <v>136</v>
      </c>
      <c r="D5" s="122">
        <f>'1.RSP Districts '!E211</f>
        <v>118</v>
      </c>
      <c r="E5" s="122">
        <f>'1.RSP Districts '!E212</f>
        <v>206</v>
      </c>
      <c r="F5" s="122">
        <f>'1.RSP Districts '!E213</f>
        <v>22</v>
      </c>
      <c r="G5" s="122">
        <f>'1.RSP Districts '!E214</f>
        <v>2109</v>
      </c>
      <c r="H5" s="122">
        <f>'1.RSP Districts '!E215</f>
        <v>718</v>
      </c>
      <c r="I5" s="122">
        <f>'1.RSP Districts '!E216</f>
        <v>13</v>
      </c>
      <c r="J5" s="122">
        <f>'1.RSP Districts '!E217</f>
        <v>342</v>
      </c>
      <c r="K5" s="122">
        <f>'1.RSP Districts '!E218</f>
        <v>585</v>
      </c>
      <c r="L5" s="122">
        <f>'1.RSP Districts '!E219</f>
        <v>113</v>
      </c>
      <c r="M5" s="139">
        <f>'1.RSP Districts '!E232</f>
        <v>3648</v>
      </c>
      <c r="N5" s="74">
        <f>M5-'1.RSP Districts '!E232</f>
        <v>0</v>
      </c>
      <c r="O5" s="61"/>
      <c r="X5" s="56">
        <f>C5-'2. Overall cum progress Mar Ref'!C5</f>
        <v>0</v>
      </c>
      <c r="Y5" s="56">
        <f>D5-'2. Overall cum progress Mar Ref'!D5</f>
        <v>0</v>
      </c>
      <c r="Z5" s="56">
        <f>E5-'2. Overall cum progress Mar Ref'!E5</f>
        <v>2</v>
      </c>
      <c r="AA5" s="56">
        <f>F5-'2. Overall cum progress Mar Ref'!F5</f>
        <v>0</v>
      </c>
      <c r="AB5" s="56">
        <f>G5-'2. Overall cum progress Mar Ref'!G5</f>
        <v>71</v>
      </c>
      <c r="AC5" s="56">
        <f>H5-'2. Overall cum progress Mar Ref'!H5</f>
        <v>4</v>
      </c>
      <c r="AD5" s="56">
        <f>I5-'2. Overall cum progress Mar Ref'!I5</f>
        <v>0</v>
      </c>
      <c r="AE5" s="56">
        <f>J5-'2. Overall cum progress Mar Ref'!J5</f>
        <v>4</v>
      </c>
      <c r="AF5" s="56">
        <f>K5-'2. Overall cum progress Mar Ref'!K5</f>
        <v>2</v>
      </c>
      <c r="AG5" s="56">
        <f>L5-'2. Overall cum progress Mar Ref'!L5</f>
        <v>0</v>
      </c>
      <c r="AH5" s="56">
        <f>M5-'2. Overall cum progress Mar Ref'!M5</f>
        <v>32</v>
      </c>
    </row>
    <row r="6" spans="1:34" s="56" customFormat="1">
      <c r="A6" s="384" t="s">
        <v>286</v>
      </c>
      <c r="B6" s="383"/>
      <c r="C6" s="139">
        <f>'1.RSP Districts '!L210</f>
        <v>102320</v>
      </c>
      <c r="D6" s="139">
        <f>'1.RSP Districts '!L211</f>
        <v>113737</v>
      </c>
      <c r="E6" s="139">
        <f>'1.RSP Districts '!L212</f>
        <v>205990</v>
      </c>
      <c r="F6" s="139">
        <f>'1.RSP Districts '!L213</f>
        <v>35396</v>
      </c>
      <c r="G6" s="139">
        <f>'1.RSP Districts '!L214</f>
        <v>2545927</v>
      </c>
      <c r="H6" s="139">
        <f>'1.RSP Districts '!L215</f>
        <v>1307686</v>
      </c>
      <c r="I6" s="139">
        <f>'1.RSP Districts '!L216</f>
        <v>16500</v>
      </c>
      <c r="J6" s="139">
        <f>'1.RSP Districts '!L217</f>
        <v>594699</v>
      </c>
      <c r="K6" s="139">
        <f>'1.RSP Districts '!L218</f>
        <v>798909</v>
      </c>
      <c r="L6" s="139">
        <f>'1.RSP Districts '!L219</f>
        <v>272724</v>
      </c>
      <c r="M6" s="139">
        <f>SUM(C6:L6)</f>
        <v>5993888</v>
      </c>
      <c r="N6" s="75">
        <f>M6/1000000</f>
        <v>5.9938880000000001</v>
      </c>
      <c r="O6" s="60">
        <f>N6*6.5</f>
        <v>38.960272000000003</v>
      </c>
      <c r="P6" s="56">
        <f>200+90+160+54</f>
        <v>504</v>
      </c>
      <c r="X6" s="56">
        <f>C6-'2. Overall cum progress Mar Ref'!C6</f>
        <v>0</v>
      </c>
      <c r="Y6" s="56">
        <f>D6-'2. Overall cum progress Mar Ref'!D6</f>
        <v>3042</v>
      </c>
      <c r="Z6" s="56">
        <f>E6-'2. Overall cum progress Mar Ref'!E6</f>
        <v>13371</v>
      </c>
      <c r="AA6" s="56">
        <f>F6-'2. Overall cum progress Mar Ref'!F6</f>
        <v>682</v>
      </c>
      <c r="AB6" s="56">
        <f>G6-'2. Overall cum progress Mar Ref'!G6</f>
        <v>150980</v>
      </c>
      <c r="AC6" s="56">
        <f>H6-'2. Overall cum progress Mar Ref'!H6</f>
        <v>78684</v>
      </c>
      <c r="AD6" s="56">
        <f>I6-'2. Overall cum progress Mar Ref'!I6</f>
        <v>0</v>
      </c>
      <c r="AE6" s="56">
        <f>J6-'2. Overall cum progress Mar Ref'!J6</f>
        <v>2970</v>
      </c>
      <c r="AF6" s="248">
        <f>K6-'2. Overall cum progress Mar Ref'!K6</f>
        <v>56853</v>
      </c>
      <c r="AG6" s="56">
        <f>L6-'2. Overall cum progress Mar Ref'!L6</f>
        <v>2740</v>
      </c>
      <c r="AH6" s="56">
        <f>M6-'2. Overall cum progress Mar Ref'!M6</f>
        <v>309322</v>
      </c>
    </row>
    <row r="7" spans="1:34" s="56" customFormat="1">
      <c r="A7" s="384" t="s">
        <v>12</v>
      </c>
      <c r="B7" s="383"/>
      <c r="C7" s="148">
        <v>0</v>
      </c>
      <c r="D7" s="148">
        <v>59</v>
      </c>
      <c r="E7" s="148">
        <f>'[17]2. Overall cum progress June 14'!E7</f>
        <v>46</v>
      </c>
      <c r="F7" s="148">
        <v>8</v>
      </c>
      <c r="G7" s="148">
        <v>633</v>
      </c>
      <c r="H7" s="139">
        <v>48</v>
      </c>
      <c r="I7" s="206">
        <v>1</v>
      </c>
      <c r="J7" s="148">
        <v>125</v>
      </c>
      <c r="K7" s="148">
        <v>110</v>
      </c>
      <c r="L7" s="148">
        <f>'[18]2. Overall cum progress June 14'!L7</f>
        <v>41</v>
      </c>
      <c r="M7" s="139">
        <f>SUM(C7:L7)</f>
        <v>1071</v>
      </c>
      <c r="N7" s="74"/>
      <c r="O7" s="61"/>
      <c r="P7" s="56">
        <f>266298-265794</f>
        <v>504</v>
      </c>
      <c r="X7" s="56">
        <f>C7-'2. Overall cum progress Mar Ref'!C7</f>
        <v>-33</v>
      </c>
      <c r="Y7" s="56">
        <f>D7-'2. Overall cum progress Mar Ref'!D7</f>
        <v>0</v>
      </c>
      <c r="Z7" s="56">
        <f>E7-'2. Overall cum progress Mar Ref'!E7</f>
        <v>0</v>
      </c>
      <c r="AA7" s="56">
        <f>F7-'2. Overall cum progress Mar Ref'!F7</f>
        <v>0</v>
      </c>
      <c r="AB7" s="56">
        <f>G7-'2. Overall cum progress Mar Ref'!G7</f>
        <v>105</v>
      </c>
      <c r="AC7" s="56">
        <f>H7-'2. Overall cum progress Mar Ref'!H7</f>
        <v>14</v>
      </c>
      <c r="AD7" s="56">
        <f>I7-'2. Overall cum progress Mar Ref'!I7</f>
        <v>0</v>
      </c>
      <c r="AE7" s="56">
        <f>J7-'2. Overall cum progress Mar Ref'!J7</f>
        <v>0</v>
      </c>
      <c r="AF7" s="56">
        <f>K7-'2. Overall cum progress Mar Ref'!K7</f>
        <v>9</v>
      </c>
      <c r="AG7" s="56">
        <f>L7-'2. Overall cum progress Mar Ref'!L7</f>
        <v>2</v>
      </c>
      <c r="AH7" s="56">
        <f>M7-'2. Overall cum progress Mar Ref'!M7</f>
        <v>97</v>
      </c>
    </row>
    <row r="8" spans="1:34" s="56" customFormat="1">
      <c r="A8" s="367" t="s">
        <v>287</v>
      </c>
      <c r="B8" s="96" t="s">
        <v>13</v>
      </c>
      <c r="C8" s="139">
        <f>'2. Overall cum progress Mar Ref'!C8</f>
        <v>1577</v>
      </c>
      <c r="D8" s="139">
        <f>'2. Overall cum progress Mar Ref'!D8</f>
        <v>2171</v>
      </c>
      <c r="E8" s="148">
        <f>'[17]2. Overall cum progress June 14'!E8</f>
        <v>3636</v>
      </c>
      <c r="F8" s="148">
        <f>'[19]2. Overall cum progress June 14'!F8</f>
        <v>1725</v>
      </c>
      <c r="G8" s="149">
        <v>77097</v>
      </c>
      <c r="H8" s="139">
        <f>'[20]2. Overall com progres June-14'!H8</f>
        <v>31337</v>
      </c>
      <c r="I8" s="136">
        <v>410</v>
      </c>
      <c r="J8" s="148">
        <f>'[21]2. Overall cum progress June 14'!J8</f>
        <v>32882</v>
      </c>
      <c r="K8" s="148">
        <v>10186</v>
      </c>
      <c r="L8" s="148">
        <f>'[18]2. Overall cum progress June 14'!L8</f>
        <v>8642</v>
      </c>
      <c r="M8" s="139">
        <f>SUM(C8:L8)</f>
        <v>169663</v>
      </c>
      <c r="N8" s="75">
        <f>M8/M11%</f>
        <v>48.479713801587003</v>
      </c>
      <c r="O8" s="61"/>
      <c r="P8" s="56" t="s">
        <v>242</v>
      </c>
      <c r="X8" s="56">
        <f>C8-'2. Overall cum progress Mar Ref'!C8</f>
        <v>0</v>
      </c>
      <c r="Y8" s="56">
        <f>D8-'2. Overall cum progress Mar Ref'!D8</f>
        <v>0</v>
      </c>
      <c r="Z8" s="56">
        <f>E8-'2. Overall cum progress Mar Ref'!E8</f>
        <v>101</v>
      </c>
      <c r="AA8" s="56">
        <f>F8-'2. Overall cum progress Mar Ref'!F8</f>
        <v>16</v>
      </c>
      <c r="AB8" s="56">
        <f>G8-'2. Overall cum progress Mar Ref'!G8</f>
        <v>2986</v>
      </c>
      <c r="AC8" s="56">
        <f>H8-'2. Overall cum progress Mar Ref'!H8</f>
        <v>909</v>
      </c>
      <c r="AD8" s="56">
        <f>I8-'2. Overall cum progress Mar Ref'!I8</f>
        <v>0</v>
      </c>
      <c r="AE8" s="56">
        <f>J8-'2. Overall cum progress Mar Ref'!J8</f>
        <v>16</v>
      </c>
      <c r="AF8" s="56">
        <f>K8-'2. Overall cum progress Mar Ref'!K8</f>
        <v>338</v>
      </c>
      <c r="AG8" s="56">
        <f>L8-'2. Overall cum progress Mar Ref'!L8</f>
        <v>3</v>
      </c>
      <c r="AH8" s="56">
        <f>M8-'2. Overall cum progress Mar Ref'!M8</f>
        <v>4369</v>
      </c>
    </row>
    <row r="9" spans="1:34" s="56" customFormat="1">
      <c r="A9" s="367"/>
      <c r="B9" s="97" t="s">
        <v>14</v>
      </c>
      <c r="C9" s="139">
        <f>'2. Overall cum progress Mar Ref'!C9</f>
        <v>2138</v>
      </c>
      <c r="D9" s="139">
        <f>'2. Overall cum progress Mar Ref'!D9</f>
        <v>2893</v>
      </c>
      <c r="E9" s="148">
        <f>'[17]2. Overall cum progress June 14'!E9</f>
        <v>8310</v>
      </c>
      <c r="F9" s="148">
        <f>'[19]2. Overall cum progress June 14'!F9</f>
        <v>1420</v>
      </c>
      <c r="G9" s="149">
        <v>75591</v>
      </c>
      <c r="H9" s="139">
        <f>'[20]2. Overall com progres June-14'!H9</f>
        <v>43866</v>
      </c>
      <c r="I9" s="136">
        <v>450</v>
      </c>
      <c r="J9" s="148">
        <f>'[21]2. Overall cum progress June 14'!J9</f>
        <v>4159</v>
      </c>
      <c r="K9" s="148">
        <v>21634</v>
      </c>
      <c r="L9" s="148">
        <f>'[18]2. Overall cum progress June 14'!L9</f>
        <v>5833</v>
      </c>
      <c r="M9" s="139">
        <f>SUM(C9:L9)</f>
        <v>166294</v>
      </c>
      <c r="N9" s="74"/>
      <c r="O9" s="61"/>
      <c r="P9" s="56">
        <v>19</v>
      </c>
      <c r="Q9" s="56">
        <f>P9*18</f>
        <v>342</v>
      </c>
      <c r="X9" s="56">
        <f>C9-'2. Overall cum progress Mar Ref'!C9</f>
        <v>0</v>
      </c>
      <c r="Y9" s="56">
        <f>D9-'2. Overall cum progress Mar Ref'!D9</f>
        <v>0</v>
      </c>
      <c r="Z9" s="56">
        <f>E9-'2. Overall cum progress Mar Ref'!E9</f>
        <v>169</v>
      </c>
      <c r="AA9" s="56">
        <f>F9-'2. Overall cum progress Mar Ref'!F9</f>
        <v>0</v>
      </c>
      <c r="AB9" s="56">
        <f>G9-'2. Overall cum progress Mar Ref'!G9</f>
        <v>1511</v>
      </c>
      <c r="AC9" s="56">
        <f>H9-'2. Overall cum progress Mar Ref'!H9</f>
        <v>1023</v>
      </c>
      <c r="AD9" s="56">
        <f>I9-'2. Overall cum progress Mar Ref'!I9</f>
        <v>0</v>
      </c>
      <c r="AE9" s="56">
        <f>J9-'2. Overall cum progress Mar Ref'!J9</f>
        <v>0</v>
      </c>
      <c r="AF9" s="56">
        <f>K9-'2. Overall cum progress Mar Ref'!K9</f>
        <v>1016</v>
      </c>
      <c r="AG9" s="56">
        <f>L9-'2. Overall cum progress Mar Ref'!L9</f>
        <v>0</v>
      </c>
      <c r="AH9" s="56">
        <f>M9-'2. Overall cum progress Mar Ref'!M9</f>
        <v>3719</v>
      </c>
    </row>
    <row r="10" spans="1:34" s="56" customFormat="1">
      <c r="A10" s="367"/>
      <c r="B10" s="97" t="s">
        <v>15</v>
      </c>
      <c r="C10" s="139">
        <f>'2. Overall cum progress Mar Ref'!C10</f>
        <v>1035</v>
      </c>
      <c r="D10" s="139">
        <f>'2. Overall cum progress Mar Ref'!D10</f>
        <v>0</v>
      </c>
      <c r="E10" s="148">
        <f>'[17]2. Overall cum progress June 14'!E10</f>
        <v>54</v>
      </c>
      <c r="F10" s="148">
        <f>'[19]2. Overall cum progress June 14'!F10</f>
        <v>0</v>
      </c>
      <c r="G10" s="149">
        <v>10808</v>
      </c>
      <c r="H10" s="139">
        <f>'[20]2. Overall com progres June-14'!H10</f>
        <v>0</v>
      </c>
      <c r="I10" s="136"/>
      <c r="J10" s="148">
        <f>'[21]2. Overall cum progress June 14'!J10</f>
        <v>40</v>
      </c>
      <c r="K10" s="148">
        <v>102</v>
      </c>
      <c r="L10" s="148">
        <f>'[18]2. Overall cum progress June 14'!L10</f>
        <v>1971</v>
      </c>
      <c r="M10" s="139">
        <f>SUM(C10:L10)</f>
        <v>14010</v>
      </c>
      <c r="N10" s="74" t="e">
        <f>(M11-N11)/N11%</f>
        <v>#DIV/0!</v>
      </c>
      <c r="O10" s="61"/>
      <c r="P10" s="56">
        <v>6</v>
      </c>
      <c r="Q10" s="56">
        <v>120</v>
      </c>
      <c r="X10" s="56">
        <f>C10-'2. Overall cum progress Mar Ref'!C10</f>
        <v>0</v>
      </c>
      <c r="Y10" s="56">
        <f>D10-'2. Overall cum progress Mar Ref'!D10</f>
        <v>0</v>
      </c>
      <c r="Z10" s="56">
        <f>E10-'2. Overall cum progress Mar Ref'!E10</f>
        <v>0</v>
      </c>
      <c r="AA10" s="56">
        <f>F10-'2. Overall cum progress Mar Ref'!F10</f>
        <v>0</v>
      </c>
      <c r="AB10" s="56">
        <f>G10-'2. Overall cum progress Mar Ref'!G10</f>
        <v>715</v>
      </c>
      <c r="AC10" s="56">
        <f>H10-'2. Overall cum progress Mar Ref'!H10</f>
        <v>0</v>
      </c>
      <c r="AD10" s="56">
        <f>I10-'2. Overall cum progress Mar Ref'!I10</f>
        <v>0</v>
      </c>
      <c r="AE10" s="56">
        <f>J10-'2. Overall cum progress Mar Ref'!J10</f>
        <v>0</v>
      </c>
      <c r="AF10" s="56">
        <f>K10-'2. Overall cum progress Mar Ref'!K10</f>
        <v>0</v>
      </c>
      <c r="AG10" s="56">
        <f>L10-'2. Overall cum progress Mar Ref'!L10</f>
        <v>0</v>
      </c>
      <c r="AH10" s="56">
        <f>M10-'2. Overall cum progress Mar Ref'!M10</f>
        <v>715</v>
      </c>
    </row>
    <row r="11" spans="1:34" s="56" customFormat="1">
      <c r="A11" s="367"/>
      <c r="B11" s="98" t="s">
        <v>16</v>
      </c>
      <c r="C11" s="140">
        <f>SUM(C8:C10)</f>
        <v>4750</v>
      </c>
      <c r="D11" s="140">
        <f t="shared" ref="D11:L11" si="1">SUM(D8:D10)</f>
        <v>5064</v>
      </c>
      <c r="E11" s="140">
        <f t="shared" si="1"/>
        <v>12000</v>
      </c>
      <c r="F11" s="140">
        <f t="shared" ref="F11:G11" si="2">SUM(F8:F10)</f>
        <v>3145</v>
      </c>
      <c r="G11" s="140">
        <f t="shared" si="2"/>
        <v>163496</v>
      </c>
      <c r="H11" s="140">
        <f t="shared" ref="H11" si="3">SUM(H8:H10)</f>
        <v>75203</v>
      </c>
      <c r="I11" s="140">
        <f t="shared" si="1"/>
        <v>860</v>
      </c>
      <c r="J11" s="140">
        <f t="shared" si="1"/>
        <v>37081</v>
      </c>
      <c r="K11" s="139">
        <f t="shared" si="1"/>
        <v>31922</v>
      </c>
      <c r="L11" s="203">
        <f t="shared" si="1"/>
        <v>16446</v>
      </c>
      <c r="M11" s="140">
        <f>SUM(M8:M10)</f>
        <v>349967</v>
      </c>
      <c r="N11" s="74"/>
      <c r="O11" s="61">
        <f>L11-16178</f>
        <v>268</v>
      </c>
      <c r="P11" s="56">
        <v>2</v>
      </c>
      <c r="Q11" s="56">
        <v>40</v>
      </c>
      <c r="X11" s="56">
        <f>C11-'2. Overall cum progress Mar Ref'!C11</f>
        <v>0</v>
      </c>
      <c r="Y11" s="56">
        <f>D11-'2. Overall cum progress Mar Ref'!D11</f>
        <v>0</v>
      </c>
      <c r="Z11" s="56">
        <f>E11-'2. Overall cum progress Mar Ref'!E11</f>
        <v>270</v>
      </c>
      <c r="AA11" s="56">
        <f>F11-'2. Overall cum progress Mar Ref'!F11</f>
        <v>16</v>
      </c>
      <c r="AB11" s="56">
        <f>G11-'2. Overall cum progress Mar Ref'!G11</f>
        <v>5212</v>
      </c>
      <c r="AC11" s="56">
        <f>H11-'2. Overall cum progress Mar Ref'!H11</f>
        <v>1932</v>
      </c>
      <c r="AD11" s="56">
        <f>I11-'2. Overall cum progress Mar Ref'!I11</f>
        <v>0</v>
      </c>
      <c r="AE11" s="56">
        <f>J11-'2. Overall cum progress Mar Ref'!J11</f>
        <v>16</v>
      </c>
      <c r="AF11" s="56">
        <f>K11-'2. Overall cum progress Mar Ref'!K11</f>
        <v>1354</v>
      </c>
      <c r="AG11" s="56">
        <f>L11-'2. Overall cum progress Mar Ref'!L11</f>
        <v>3</v>
      </c>
      <c r="AH11" s="56">
        <f>M11-'2. Overall cum progress Mar Ref'!M11</f>
        <v>8803</v>
      </c>
    </row>
    <row r="12" spans="1:34" s="56" customFormat="1">
      <c r="A12" s="372" t="s">
        <v>302</v>
      </c>
      <c r="B12" s="96" t="s">
        <v>17</v>
      </c>
      <c r="C12" s="139">
        <f>'2. Overall cum progress Mar Ref'!C12</f>
        <v>44063</v>
      </c>
      <c r="D12" s="139">
        <f>'2. Overall cum progress Mar Ref'!D12</f>
        <v>84455</v>
      </c>
      <c r="E12" s="148">
        <f>'[17]2. Overall cum progress June 14'!E12</f>
        <v>60372</v>
      </c>
      <c r="F12" s="148">
        <f>'[19]2. Overall cum progress June 14'!F12</f>
        <v>28702</v>
      </c>
      <c r="G12" s="149">
        <v>1368055</v>
      </c>
      <c r="H12" s="139">
        <f>'[20]2. Overall com progres June-14'!H12</f>
        <v>521173</v>
      </c>
      <c r="I12" s="136">
        <v>10845</v>
      </c>
      <c r="J12" s="148">
        <f>'[21]2. Overall cum progress June 14'!J12</f>
        <v>553322</v>
      </c>
      <c r="K12" s="148">
        <v>244560</v>
      </c>
      <c r="L12" s="148">
        <f>'[18]2. Overall cum progress June 14'!L12</f>
        <v>178534</v>
      </c>
      <c r="M12" s="139">
        <f>SUM(C12:L12)</f>
        <v>3094081</v>
      </c>
      <c r="N12" s="102">
        <f>M12/M14%</f>
        <v>51.354919428498114</v>
      </c>
      <c r="O12" s="61"/>
      <c r="Q12" s="56">
        <f>SUM(Q9:Q11)</f>
        <v>502</v>
      </c>
      <c r="X12" s="56">
        <f>C12-'2. Overall cum progress Mar Ref'!C12</f>
        <v>0</v>
      </c>
      <c r="Y12" s="56">
        <f>D12-'2. Overall cum progress Mar Ref'!D12</f>
        <v>0</v>
      </c>
      <c r="Z12" s="56">
        <f>E12-'2. Overall cum progress Mar Ref'!E12</f>
        <v>1576</v>
      </c>
      <c r="AA12" s="56">
        <f>F12-'2. Overall cum progress Mar Ref'!F12</f>
        <v>233</v>
      </c>
      <c r="AB12" s="56">
        <f>G12-'2. Overall cum progress Mar Ref'!G12</f>
        <v>56299</v>
      </c>
      <c r="AC12" s="56">
        <f>H12-'2. Overall cum progress Mar Ref'!H12</f>
        <v>19430</v>
      </c>
      <c r="AD12" s="56">
        <f>I12-'2. Overall cum progress Mar Ref'!I12</f>
        <v>0</v>
      </c>
      <c r="AE12" s="56">
        <f>J12-'2. Overall cum progress Mar Ref'!J12</f>
        <v>255</v>
      </c>
      <c r="AF12" s="56">
        <f>K12-'2. Overall cum progress Mar Ref'!K12</f>
        <v>8157</v>
      </c>
      <c r="AG12" s="56">
        <f>L12-'2. Overall cum progress Mar Ref'!L12</f>
        <v>60</v>
      </c>
      <c r="AH12" s="56">
        <f>M12-'2. Overall cum progress Mar Ref'!M12</f>
        <v>86010</v>
      </c>
    </row>
    <row r="13" spans="1:34" s="56" customFormat="1">
      <c r="A13" s="372"/>
      <c r="B13" s="97" t="s">
        <v>18</v>
      </c>
      <c r="C13" s="139">
        <f>'2. Overall cum progress Mar Ref'!C13</f>
        <v>58257</v>
      </c>
      <c r="D13" s="139">
        <f>'2. Overall cum progress Mar Ref'!D13</f>
        <v>121509</v>
      </c>
      <c r="E13" s="148">
        <f>'[17]2. Overall cum progress June 14'!E13</f>
        <v>136439</v>
      </c>
      <c r="F13" s="148">
        <f>'[19]2. Overall cum progress June 14'!F13</f>
        <v>26262</v>
      </c>
      <c r="G13" s="149">
        <v>1108810</v>
      </c>
      <c r="H13" s="139">
        <f>'[20]2. Overall com progres June-14'!H13</f>
        <v>756365</v>
      </c>
      <c r="I13" s="136">
        <v>11348</v>
      </c>
      <c r="J13" s="148">
        <f>'[21]2. Overall cum progress June 14'!J13</f>
        <v>38662</v>
      </c>
      <c r="K13" s="148">
        <v>531502</v>
      </c>
      <c r="L13" s="148">
        <f>'[18]2. Overall cum progress June 14'!L13</f>
        <v>141662</v>
      </c>
      <c r="M13" s="139">
        <f>SUM(C13:L13)</f>
        <v>2930816</v>
      </c>
      <c r="N13" s="74"/>
      <c r="O13" s="61"/>
      <c r="X13" s="56">
        <f>C13-'2. Overall cum progress Mar Ref'!C13</f>
        <v>0</v>
      </c>
      <c r="Y13" s="56">
        <f>D13-'2. Overall cum progress Mar Ref'!D13</f>
        <v>0</v>
      </c>
      <c r="Z13" s="56">
        <f>E13-'2. Overall cum progress Mar Ref'!E13</f>
        <v>2661</v>
      </c>
      <c r="AA13" s="56">
        <f>F13-'2. Overall cum progress Mar Ref'!F13</f>
        <v>0</v>
      </c>
      <c r="AB13" s="56">
        <f>G13-'2. Overall cum progress Mar Ref'!G13</f>
        <v>25819</v>
      </c>
      <c r="AC13" s="56">
        <f>H13-'2. Overall cum progress Mar Ref'!H13</f>
        <v>18888</v>
      </c>
      <c r="AD13" s="56">
        <f>I13-'2. Overall cum progress Mar Ref'!I13</f>
        <v>0</v>
      </c>
      <c r="AE13" s="56">
        <f>J13-'2. Overall cum progress Mar Ref'!J13</f>
        <v>0</v>
      </c>
      <c r="AF13" s="56">
        <f>K13-'2. Overall cum progress Mar Ref'!K13</f>
        <v>25849</v>
      </c>
      <c r="AG13" s="56">
        <f>L13-'2. Overall cum progress Mar Ref'!L13</f>
        <v>0</v>
      </c>
      <c r="AH13" s="56">
        <f>M13-'2. Overall cum progress Mar Ref'!M13</f>
        <v>73217</v>
      </c>
    </row>
    <row r="14" spans="1:34" s="56" customFormat="1">
      <c r="A14" s="372"/>
      <c r="B14" s="99" t="s">
        <v>16</v>
      </c>
      <c r="C14" s="140">
        <f>SUM(C12:C13)</f>
        <v>102320</v>
      </c>
      <c r="D14" s="140">
        <f t="shared" ref="D14:M14" si="4">SUM(D12:D13)</f>
        <v>205964</v>
      </c>
      <c r="E14" s="140">
        <f t="shared" si="4"/>
        <v>196811</v>
      </c>
      <c r="F14" s="140">
        <f t="shared" ref="F14:G14" si="5">SUM(F12:F13)</f>
        <v>54964</v>
      </c>
      <c r="G14" s="140">
        <f t="shared" si="5"/>
        <v>2476865</v>
      </c>
      <c r="H14" s="140">
        <f t="shared" ref="H14" si="6">SUM(H12:H13)</f>
        <v>1277538</v>
      </c>
      <c r="I14" s="140">
        <f t="shared" si="4"/>
        <v>22193</v>
      </c>
      <c r="J14" s="140">
        <f t="shared" si="4"/>
        <v>591984</v>
      </c>
      <c r="K14" s="139">
        <f>SUM(K12:K13)</f>
        <v>776062</v>
      </c>
      <c r="L14" s="140">
        <f t="shared" si="4"/>
        <v>320196</v>
      </c>
      <c r="M14" s="140">
        <f t="shared" si="4"/>
        <v>6024897</v>
      </c>
      <c r="N14" s="75">
        <f>M14/1000000</f>
        <v>6.0248970000000002</v>
      </c>
      <c r="O14" s="61">
        <f>L14-314221</f>
        <v>5975</v>
      </c>
      <c r="T14" s="56">
        <f>E12/E8</f>
        <v>16.603960396039604</v>
      </c>
      <c r="X14" s="56">
        <f>C14-'2. Overall cum progress Mar Ref'!C14</f>
        <v>0</v>
      </c>
      <c r="Y14" s="56">
        <f>D14-'2. Overall cum progress Mar Ref'!D14</f>
        <v>0</v>
      </c>
      <c r="Z14" s="56">
        <f>E14-'2. Overall cum progress Mar Ref'!E14</f>
        <v>4237</v>
      </c>
      <c r="AA14" s="56">
        <f>F14-'2. Overall cum progress Mar Ref'!F14</f>
        <v>233</v>
      </c>
      <c r="AB14" s="56">
        <f>G14-'2. Overall cum progress Mar Ref'!G14</f>
        <v>82118</v>
      </c>
      <c r="AC14" s="56">
        <f>H14-'2. Overall cum progress Mar Ref'!H14</f>
        <v>38318</v>
      </c>
      <c r="AD14" s="56">
        <f>I14-'2. Overall cum progress Mar Ref'!I14</f>
        <v>0</v>
      </c>
      <c r="AE14" s="56">
        <f>J14-'2. Overall cum progress Mar Ref'!J14</f>
        <v>255</v>
      </c>
      <c r="AF14" s="56">
        <f>K14-'2. Overall cum progress Mar Ref'!K14</f>
        <v>34006</v>
      </c>
      <c r="AG14" s="56">
        <f>L14-'2. Overall cum progress Mar Ref'!L14</f>
        <v>60</v>
      </c>
      <c r="AH14" s="56">
        <f>M14-'2. Overall cum progress Mar Ref'!M14</f>
        <v>159227</v>
      </c>
    </row>
    <row r="15" spans="1:34" s="60" customFormat="1">
      <c r="A15" s="373" t="s">
        <v>223</v>
      </c>
      <c r="B15" s="100" t="s">
        <v>17</v>
      </c>
      <c r="C15" s="139">
        <f>'2. Overall cum progress Mar Ref'!C15</f>
        <v>24.064</v>
      </c>
      <c r="D15" s="139">
        <f>'2. Overall cum progress Mar Ref'!D15</f>
        <v>129.43899999999999</v>
      </c>
      <c r="E15" s="148">
        <f>'[17]2. Overall cum progress June 14'!E15</f>
        <v>5.45</v>
      </c>
      <c r="F15" s="148">
        <f>'[19]2. Overall cum progress June 14'!F15</f>
        <v>4.3</v>
      </c>
      <c r="G15" s="149">
        <v>239.5</v>
      </c>
      <c r="H15" s="139">
        <f>'[20]2. Overall com progres June-14'!H15</f>
        <v>81.551000000000002</v>
      </c>
      <c r="I15" s="136">
        <v>0</v>
      </c>
      <c r="J15" s="148">
        <f>'[21]2. Overall cum progress June 14'!J15</f>
        <v>110</v>
      </c>
      <c r="K15" s="148">
        <v>38.51</v>
      </c>
      <c r="L15" s="148">
        <f>'[18]2. Overall cum progress June 14'!L15</f>
        <v>82.540209999999988</v>
      </c>
      <c r="M15" s="139">
        <f>SUM(C15:L15)</f>
        <v>715.35420999999997</v>
      </c>
      <c r="N15" s="74"/>
      <c r="O15" s="61"/>
      <c r="P15" s="60">
        <v>742335</v>
      </c>
      <c r="T15" s="60">
        <f>E13/E9</f>
        <v>16.418652226233455</v>
      </c>
      <c r="X15" s="56">
        <f>C15-'2. Overall cum progress Mar Ref'!C15</f>
        <v>0</v>
      </c>
      <c r="Y15" s="56">
        <f>D15-'2. Overall cum progress Mar Ref'!D15</f>
        <v>0</v>
      </c>
      <c r="Z15" s="56">
        <f>E15-'2. Overall cum progress Mar Ref'!E15</f>
        <v>0</v>
      </c>
      <c r="AA15" s="56">
        <f>F15-'2. Overall cum progress Mar Ref'!F15</f>
        <v>0</v>
      </c>
      <c r="AB15" s="56">
        <f>G15-'2. Overall cum progress Mar Ref'!G15</f>
        <v>4.75</v>
      </c>
      <c r="AC15" s="56">
        <f>H15-'2. Overall cum progress Mar Ref'!H15</f>
        <v>9.8400000000000034</v>
      </c>
      <c r="AD15" s="56">
        <f>I15-'2. Overall cum progress Mar Ref'!I15</f>
        <v>0</v>
      </c>
      <c r="AE15" s="56">
        <f>J15-'2. Overall cum progress Mar Ref'!J15</f>
        <v>0</v>
      </c>
      <c r="AF15" s="56">
        <f>K15-'2. Overall cum progress Mar Ref'!K15</f>
        <v>1.2929930849999494E-2</v>
      </c>
      <c r="AG15" s="56">
        <f>L15-'2. Overall cum progress Mar Ref'!L15</f>
        <v>0</v>
      </c>
      <c r="AH15" s="56">
        <f>M15-'2. Overall cum progress Mar Ref'!M15</f>
        <v>14.602929930849996</v>
      </c>
    </row>
    <row r="16" spans="1:34" s="60" customFormat="1">
      <c r="A16" s="373"/>
      <c r="B16" s="94" t="s">
        <v>18</v>
      </c>
      <c r="C16" s="139">
        <f>'2. Overall cum progress Mar Ref'!C16</f>
        <v>11.851000000000001</v>
      </c>
      <c r="D16" s="139">
        <f>'2. Overall cum progress Mar Ref'!D16</f>
        <v>371.08199999999999</v>
      </c>
      <c r="E16" s="148">
        <f>'[17]2. Overall cum progress June 14'!E16</f>
        <v>8.7799999999999994</v>
      </c>
      <c r="F16" s="148">
        <f>'[19]2. Overall cum progress June 14'!F16</f>
        <v>5.0999999999999996</v>
      </c>
      <c r="G16" s="149">
        <v>1202.5899999999999</v>
      </c>
      <c r="H16" s="139">
        <f>'[20]2. Overall com progres June-14'!H16</f>
        <v>81.003</v>
      </c>
      <c r="I16" s="136">
        <v>1</v>
      </c>
      <c r="J16" s="148">
        <f>'[21]2. Overall cum progress June 14'!J16</f>
        <v>7</v>
      </c>
      <c r="K16" s="148">
        <v>102.87</v>
      </c>
      <c r="L16" s="148">
        <f>'[18]2. Overall cum progress June 14'!L16</f>
        <v>120.445775</v>
      </c>
      <c r="M16" s="139">
        <f>SUM(C16:L16)</f>
        <v>1911.7217749999998</v>
      </c>
      <c r="N16" s="74"/>
      <c r="O16" s="61"/>
      <c r="P16" s="60">
        <f>P15/1000000</f>
        <v>0.74233499999999997</v>
      </c>
      <c r="X16" s="56">
        <f>C16-'2. Overall cum progress Mar Ref'!C16</f>
        <v>0</v>
      </c>
      <c r="Y16" s="56">
        <f>D16-'2. Overall cum progress Mar Ref'!D16</f>
        <v>0</v>
      </c>
      <c r="Z16" s="56">
        <f>E16-'2. Overall cum progress Mar Ref'!E16</f>
        <v>0</v>
      </c>
      <c r="AA16" s="56">
        <f>F16-'2. Overall cum progress Mar Ref'!F16</f>
        <v>0</v>
      </c>
      <c r="AB16" s="56">
        <f>G16-'2. Overall cum progress Mar Ref'!G16</f>
        <v>66.269999999999982</v>
      </c>
      <c r="AC16" s="56">
        <f>H16-'2. Overall cum progress Mar Ref'!H16</f>
        <v>8.8629999999999995</v>
      </c>
      <c r="AD16" s="56">
        <f>I16-'2. Overall cum progress Mar Ref'!I16</f>
        <v>0</v>
      </c>
      <c r="AE16" s="56">
        <f>J16-'2. Overall cum progress Mar Ref'!J16</f>
        <v>0</v>
      </c>
      <c r="AF16" s="56">
        <f>K16-'2. Overall cum progress Mar Ref'!K16</f>
        <v>2.086339702464997</v>
      </c>
      <c r="AG16" s="56">
        <f>L16-'2. Overall cum progress Mar Ref'!L16</f>
        <v>0</v>
      </c>
      <c r="AH16" s="56">
        <f>M16-'2. Overall cum progress Mar Ref'!M16</f>
        <v>77.219339702464822</v>
      </c>
    </row>
    <row r="17" spans="1:34" s="60" customFormat="1">
      <c r="A17" s="373"/>
      <c r="B17" s="99" t="s">
        <v>16</v>
      </c>
      <c r="C17" s="140">
        <f>SUM(C15:C16)</f>
        <v>35.914999999999999</v>
      </c>
      <c r="D17" s="140">
        <f t="shared" ref="D17:M17" si="7">SUM(D15:D16)</f>
        <v>500.52099999999996</v>
      </c>
      <c r="E17" s="140">
        <f t="shared" si="7"/>
        <v>14.23</v>
      </c>
      <c r="F17" s="140">
        <f t="shared" ref="F17:H17" si="8">SUM(F15:F16)</f>
        <v>9.3999999999999986</v>
      </c>
      <c r="G17" s="140">
        <f t="shared" si="8"/>
        <v>1442.09</v>
      </c>
      <c r="H17" s="140">
        <f t="shared" si="8"/>
        <v>162.554</v>
      </c>
      <c r="I17" s="140">
        <f t="shared" si="7"/>
        <v>1</v>
      </c>
      <c r="J17" s="140">
        <f t="shared" si="7"/>
        <v>117</v>
      </c>
      <c r="K17" s="249">
        <f>SUM(K15:K16)</f>
        <v>141.38</v>
      </c>
      <c r="L17" s="147">
        <f t="shared" ref="L17" si="9">SUM(L15:L16)</f>
        <v>202.98598499999997</v>
      </c>
      <c r="M17" s="140">
        <f t="shared" si="7"/>
        <v>2627.0759849999995</v>
      </c>
      <c r="N17" s="74"/>
      <c r="O17" s="61"/>
      <c r="X17" s="56">
        <f>C17-'2. Overall cum progress Mar Ref'!C17</f>
        <v>0</v>
      </c>
      <c r="Y17" s="56">
        <f>D17-'2. Overall cum progress Mar Ref'!D17</f>
        <v>0</v>
      </c>
      <c r="Z17" s="56">
        <f>E17-'2. Overall cum progress Mar Ref'!E17</f>
        <v>0</v>
      </c>
      <c r="AA17" s="56">
        <f>F17-'2. Overall cum progress Mar Ref'!F17</f>
        <v>0</v>
      </c>
      <c r="AB17" s="56">
        <f>G17-'2. Overall cum progress Mar Ref'!G17</f>
        <v>71.019999999999982</v>
      </c>
      <c r="AC17" s="56">
        <f>H17-'2. Overall cum progress Mar Ref'!H17</f>
        <v>18.703000000000003</v>
      </c>
      <c r="AD17" s="56">
        <f>I17-'2. Overall cum progress Mar Ref'!I17</f>
        <v>0</v>
      </c>
      <c r="AE17" s="56">
        <f>J17-'2. Overall cum progress Mar Ref'!J17</f>
        <v>0</v>
      </c>
      <c r="AF17" s="56">
        <f>K17-'2. Overall cum progress Mar Ref'!K17</f>
        <v>2.0992696333149752</v>
      </c>
      <c r="AG17" s="56">
        <f>L17-'2. Overall cum progress Mar Ref'!L17</f>
        <v>0</v>
      </c>
      <c r="AH17" s="56">
        <f>M17-'2. Overall cum progress Mar Ref'!M17</f>
        <v>91.82226963331459</v>
      </c>
    </row>
    <row r="18" spans="1:34" s="56" customFormat="1">
      <c r="A18" s="367" t="s">
        <v>19</v>
      </c>
      <c r="B18" s="96" t="s">
        <v>17</v>
      </c>
      <c r="C18" s="139">
        <f>'2. Overall cum progress Mar Ref'!C18</f>
        <v>10954</v>
      </c>
      <c r="D18" s="139">
        <f>'2. Overall cum progress Mar Ref'!D18</f>
        <v>58754</v>
      </c>
      <c r="E18" s="148">
        <f>'[17]2. Overall cum progress June 14'!E18</f>
        <v>50690</v>
      </c>
      <c r="F18" s="148">
        <f>'[19]2. Overall cum progress June 14'!F18</f>
        <v>12657</v>
      </c>
      <c r="G18" s="149">
        <v>1389753</v>
      </c>
      <c r="H18" s="139">
        <f>'[20]2. Overall com progres June-14'!H18</f>
        <v>146546</v>
      </c>
      <c r="I18" s="136">
        <v>4830</v>
      </c>
      <c r="J18" s="148">
        <f>'[21]2. Overall cum progress June 14'!J18</f>
        <v>232032</v>
      </c>
      <c r="K18" s="148">
        <f>'[22]2. Overall cum progress June 14'!K18</f>
        <v>72276</v>
      </c>
      <c r="L18" s="148">
        <f>'[18]2. Overall cum progress June 14'!L18</f>
        <v>102781</v>
      </c>
      <c r="M18" s="139">
        <f>SUM(C18:L18)</f>
        <v>2081273</v>
      </c>
      <c r="N18" s="60">
        <f>M18/1000000</f>
        <v>2.0812729999999999</v>
      </c>
      <c r="O18" s="60">
        <f>M18/M20%</f>
        <v>52.901055467652874</v>
      </c>
      <c r="X18" s="56">
        <f>C18-'2. Overall cum progress Mar Ref'!C18</f>
        <v>0</v>
      </c>
      <c r="Y18" s="56">
        <f>D18-'2. Overall cum progress Mar Ref'!D18</f>
        <v>0</v>
      </c>
      <c r="Z18" s="56">
        <f>E18-'2. Overall cum progress Mar Ref'!E18</f>
        <v>63</v>
      </c>
      <c r="AA18" s="56">
        <f>F18-'2. Overall cum progress Mar Ref'!F18</f>
        <v>189</v>
      </c>
      <c r="AB18" s="56">
        <f>G18-'2. Overall cum progress Mar Ref'!G18</f>
        <v>68830</v>
      </c>
      <c r="AC18" s="56">
        <f>H18-'2. Overall cum progress Mar Ref'!H18</f>
        <v>212</v>
      </c>
      <c r="AD18" s="56">
        <f>I18-'2. Overall cum progress Mar Ref'!I18</f>
        <v>0</v>
      </c>
      <c r="AE18" s="56">
        <f>J18-'2. Overall cum progress Mar Ref'!J18</f>
        <v>4527</v>
      </c>
      <c r="AF18" s="56">
        <f>K18-'2. Overall cum progress Mar Ref'!K18</f>
        <v>10700</v>
      </c>
      <c r="AG18" s="56">
        <f>L18-'2. Overall cum progress Mar Ref'!L18</f>
        <v>4257</v>
      </c>
      <c r="AH18" s="56">
        <f>M18-'2. Overall cum progress Mar Ref'!M18</f>
        <v>88778</v>
      </c>
    </row>
    <row r="19" spans="1:34" s="56" customFormat="1">
      <c r="A19" s="367"/>
      <c r="B19" s="97" t="s">
        <v>18</v>
      </c>
      <c r="C19" s="139">
        <f>'2. Overall cum progress Mar Ref'!C19</f>
        <v>6385</v>
      </c>
      <c r="D19" s="139">
        <f>'2. Overall cum progress Mar Ref'!D19</f>
        <v>27804</v>
      </c>
      <c r="E19" s="148">
        <f>'[17]2. Overall cum progress June 14'!E19</f>
        <v>116909</v>
      </c>
      <c r="F19" s="148">
        <f>'[19]2. Overall cum progress June 14'!F19</f>
        <v>4611</v>
      </c>
      <c r="G19" s="149">
        <v>1153628</v>
      </c>
      <c r="H19" s="139">
        <f>'[20]2. Overall com progres June-14'!H19</f>
        <v>331690</v>
      </c>
      <c r="I19" s="136">
        <v>4825</v>
      </c>
      <c r="J19" s="148">
        <f>'[21]2. Overall cum progress June 14'!J19</f>
        <v>13632</v>
      </c>
      <c r="K19" s="148">
        <f>'[22]2. Overall cum progress June 14'!K19</f>
        <v>98148</v>
      </c>
      <c r="L19" s="148">
        <f>'[18]2. Overall cum progress June 14'!L19</f>
        <v>95370</v>
      </c>
      <c r="M19" s="139">
        <f>SUM(C19:L19)</f>
        <v>1853002</v>
      </c>
      <c r="N19" s="74"/>
      <c r="O19" s="61"/>
      <c r="X19" s="56">
        <f>C19-'2. Overall cum progress Mar Ref'!C19</f>
        <v>0</v>
      </c>
      <c r="Y19" s="56">
        <f>D19-'2. Overall cum progress Mar Ref'!D19</f>
        <v>0</v>
      </c>
      <c r="Z19" s="56">
        <f>E19-'2. Overall cum progress Mar Ref'!E19</f>
        <v>463</v>
      </c>
      <c r="AA19" s="56">
        <f>F19-'2. Overall cum progress Mar Ref'!F19</f>
        <v>176</v>
      </c>
      <c r="AB19" s="56">
        <f>G19-'2. Overall cum progress Mar Ref'!G19</f>
        <v>39486</v>
      </c>
      <c r="AC19" s="56">
        <f>H19-'2. Overall cum progress Mar Ref'!H19</f>
        <v>1913</v>
      </c>
      <c r="AD19" s="56">
        <f>I19-'2. Overall cum progress Mar Ref'!I19</f>
        <v>0</v>
      </c>
      <c r="AE19" s="56">
        <f>J19-'2. Overall cum progress Mar Ref'!J19</f>
        <v>503</v>
      </c>
      <c r="AF19" s="56">
        <f>K19-'2. Overall cum progress Mar Ref'!K19</f>
        <v>2740</v>
      </c>
      <c r="AG19" s="56">
        <f>L19-'2. Overall cum progress Mar Ref'!L19</f>
        <v>2518</v>
      </c>
      <c r="AH19" s="56">
        <f>M19-'2. Overall cum progress Mar Ref'!M19</f>
        <v>47799</v>
      </c>
    </row>
    <row r="20" spans="1:34" s="56" customFormat="1">
      <c r="A20" s="367"/>
      <c r="B20" s="98" t="s">
        <v>16</v>
      </c>
      <c r="C20" s="140">
        <f>SUM(C18:C19)</f>
        <v>17339</v>
      </c>
      <c r="D20" s="140">
        <f t="shared" ref="D20:M20" si="10">SUM(D18:D19)</f>
        <v>86558</v>
      </c>
      <c r="E20" s="140">
        <f t="shared" si="10"/>
        <v>167599</v>
      </c>
      <c r="F20" s="140">
        <f t="shared" ref="F20:G20" si="11">SUM(F18:F19)</f>
        <v>17268</v>
      </c>
      <c r="G20" s="140">
        <f t="shared" si="11"/>
        <v>2543381</v>
      </c>
      <c r="H20" s="140">
        <f t="shared" ref="H20" si="12">SUM(H18:H19)</f>
        <v>478236</v>
      </c>
      <c r="I20" s="140">
        <f t="shared" si="10"/>
        <v>9655</v>
      </c>
      <c r="J20" s="140">
        <f t="shared" si="10"/>
        <v>245664</v>
      </c>
      <c r="K20" s="140">
        <f t="shared" si="10"/>
        <v>170424</v>
      </c>
      <c r="L20" s="140">
        <f t="shared" ref="L20" si="13">SUM(L18:L19)</f>
        <v>198151</v>
      </c>
      <c r="M20" s="140">
        <f t="shared" si="10"/>
        <v>3934275</v>
      </c>
      <c r="N20" s="60">
        <f>M20/1000000</f>
        <v>3.934275</v>
      </c>
      <c r="O20" s="61"/>
      <c r="X20" s="56">
        <f>C20-'2. Overall cum progress Mar Ref'!C20</f>
        <v>0</v>
      </c>
      <c r="Y20" s="56">
        <f>D20-'2. Overall cum progress Mar Ref'!D20</f>
        <v>0</v>
      </c>
      <c r="Z20" s="56">
        <f>E20-'2. Overall cum progress Mar Ref'!E20</f>
        <v>526</v>
      </c>
      <c r="AA20" s="56">
        <f>F20-'2. Overall cum progress Mar Ref'!F20</f>
        <v>365</v>
      </c>
      <c r="AB20" s="56">
        <f>G20-'2. Overall cum progress Mar Ref'!G20</f>
        <v>108316</v>
      </c>
      <c r="AC20" s="56">
        <f>H20-'2. Overall cum progress Mar Ref'!H20</f>
        <v>2125</v>
      </c>
      <c r="AD20" s="56">
        <f>I20-'2. Overall cum progress Mar Ref'!I20</f>
        <v>0</v>
      </c>
      <c r="AE20" s="56">
        <f>J20-'2. Overall cum progress Mar Ref'!J20</f>
        <v>5030</v>
      </c>
      <c r="AF20" s="56">
        <f>K20-'2. Overall cum progress Mar Ref'!K20</f>
        <v>13440</v>
      </c>
      <c r="AG20" s="56">
        <f>L20-'2. Overall cum progress Mar Ref'!L20</f>
        <v>6775</v>
      </c>
      <c r="AH20" s="56">
        <f>M20-'2. Overall cum progress Mar Ref'!M20</f>
        <v>136577</v>
      </c>
    </row>
    <row r="21" spans="1:34" s="56" customFormat="1">
      <c r="A21" s="374" t="s">
        <v>205</v>
      </c>
      <c r="B21" s="97" t="s">
        <v>295</v>
      </c>
      <c r="C21" s="139">
        <f>'2. Overall cum progress Mar Ref'!C21</f>
        <v>6</v>
      </c>
      <c r="D21" s="139">
        <f>'2. Overall cum progress Mar Ref'!D21</f>
        <v>12</v>
      </c>
      <c r="E21" s="148">
        <f>'[17]2. Overall cum progress June 14'!E21</f>
        <v>2</v>
      </c>
      <c r="F21" s="148">
        <f>'[19]2. Overall cum progress June 14'!F21</f>
        <v>1</v>
      </c>
      <c r="G21" s="246">
        <v>211</v>
      </c>
      <c r="H21" s="139">
        <f>'[20]2. Overall com progres June-14'!H21</f>
        <v>2</v>
      </c>
      <c r="I21" s="136">
        <v>0</v>
      </c>
      <c r="J21" s="148">
        <f>'[21]2. Overall cum progress June 14'!J21</f>
        <v>35</v>
      </c>
      <c r="K21" s="148">
        <f>'[22]2. Overall cum progress June 14'!K21</f>
        <v>0</v>
      </c>
      <c r="L21" s="148">
        <f>'[18]2. Overall cum progress June 14'!L21</f>
        <v>8</v>
      </c>
      <c r="M21" s="139">
        <f t="shared" ref="M21:M26" si="14">SUM(C21:L21)</f>
        <v>277</v>
      </c>
      <c r="N21" s="74"/>
      <c r="O21" s="61"/>
      <c r="X21" s="56">
        <f>C21-'2. Overall cum progress Mar Ref'!C21</f>
        <v>0</v>
      </c>
      <c r="Y21" s="56">
        <f>D21-'2. Overall cum progress Mar Ref'!D21</f>
        <v>0</v>
      </c>
      <c r="Z21" s="56">
        <f>E21-'2. Overall cum progress Mar Ref'!E21</f>
        <v>0</v>
      </c>
      <c r="AA21" s="56">
        <f>F21-'2. Overall cum progress Mar Ref'!F21</f>
        <v>0</v>
      </c>
      <c r="AB21" s="56">
        <f>G21-'2. Overall cum progress Mar Ref'!G21</f>
        <v>0</v>
      </c>
      <c r="AC21" s="56">
        <f>H21-'2. Overall cum progress Mar Ref'!H21</f>
        <v>0</v>
      </c>
      <c r="AD21" s="56">
        <f>I21-'2. Overall cum progress Mar Ref'!I21</f>
        <v>0</v>
      </c>
      <c r="AE21" s="56">
        <f>J21-'2. Overall cum progress Mar Ref'!J21</f>
        <v>4</v>
      </c>
      <c r="AF21" s="56">
        <f>K21-'2. Overall cum progress Mar Ref'!K21</f>
        <v>0</v>
      </c>
      <c r="AG21" s="56">
        <f>L21-'2. Overall cum progress Mar Ref'!L21</f>
        <v>0</v>
      </c>
      <c r="AH21" s="56">
        <f>M21-'2. Overall cum progress Mar Ref'!M21</f>
        <v>4</v>
      </c>
    </row>
    <row r="22" spans="1:34" s="56" customFormat="1">
      <c r="A22" s="375"/>
      <c r="B22" s="97" t="s">
        <v>296</v>
      </c>
      <c r="C22" s="139">
        <f>'2. Overall cum progress Mar Ref'!C22</f>
        <v>0</v>
      </c>
      <c r="D22" s="139">
        <f>'2. Overall cum progress Mar Ref'!D22</f>
        <v>0</v>
      </c>
      <c r="E22" s="148">
        <f>'[17]2. Overall cum progress June 14'!E22</f>
        <v>0</v>
      </c>
      <c r="F22" s="148">
        <f>'[19]2. Overall cum progress June 14'!F22</f>
        <v>10</v>
      </c>
      <c r="G22" s="246">
        <v>74</v>
      </c>
      <c r="H22" s="139">
        <f>'[20]2. Overall com progres June-14'!H22</f>
        <v>33</v>
      </c>
      <c r="I22" s="136">
        <v>0</v>
      </c>
      <c r="J22" s="148">
        <f>'[21]2. Overall cum progress June 14'!J22</f>
        <v>3648</v>
      </c>
      <c r="K22" s="148">
        <f>'[22]2. Overall cum progress June 14'!K22</f>
        <v>326</v>
      </c>
      <c r="L22" s="148">
        <f>'[18]2. Overall cum progress June 14'!L22</f>
        <v>1307</v>
      </c>
      <c r="M22" s="139">
        <f t="shared" si="14"/>
        <v>5398</v>
      </c>
      <c r="N22" s="74"/>
      <c r="O22" s="61"/>
      <c r="X22" s="56">
        <f>C22-'2. Overall cum progress Mar Ref'!C22</f>
        <v>0</v>
      </c>
      <c r="Y22" s="56">
        <f>D22-'2. Overall cum progress Mar Ref'!D22</f>
        <v>0</v>
      </c>
      <c r="Z22" s="56">
        <f>E22-'2. Overall cum progress Mar Ref'!E22</f>
        <v>0</v>
      </c>
      <c r="AA22" s="56">
        <f>F22-'2. Overall cum progress Mar Ref'!F22</f>
        <v>0</v>
      </c>
      <c r="AB22" s="56">
        <f>G22-'2. Overall cum progress Mar Ref'!G22</f>
        <v>0</v>
      </c>
      <c r="AC22" s="56">
        <f>H22-'2. Overall cum progress Mar Ref'!H22</f>
        <v>0</v>
      </c>
      <c r="AD22" s="56">
        <f>I22-'2. Overall cum progress Mar Ref'!I22</f>
        <v>0</v>
      </c>
      <c r="AE22" s="56">
        <f>J22-'2. Overall cum progress Mar Ref'!J22</f>
        <v>40</v>
      </c>
      <c r="AF22" s="56">
        <f>K22-'2. Overall cum progress Mar Ref'!K22</f>
        <v>0</v>
      </c>
      <c r="AG22" s="56">
        <f>L22-'2. Overall cum progress Mar Ref'!L22</f>
        <v>0</v>
      </c>
      <c r="AH22" s="56">
        <f>M22-'2. Overall cum progress Mar Ref'!M22</f>
        <v>40</v>
      </c>
    </row>
    <row r="23" spans="1:34" s="56" customFormat="1">
      <c r="A23" s="375"/>
      <c r="B23" s="97" t="s">
        <v>297</v>
      </c>
      <c r="C23" s="139">
        <f>'2. Overall cum progress Mar Ref'!C23</f>
        <v>1094</v>
      </c>
      <c r="D23" s="139">
        <f>'2. Overall cum progress Mar Ref'!D23</f>
        <v>2055</v>
      </c>
      <c r="E23" s="148">
        <f>'[17]2. Overall cum progress June 14'!E23</f>
        <v>20</v>
      </c>
      <c r="F23" s="148">
        <f>'[19]2. Overall cum progress June 14'!F23</f>
        <v>42</v>
      </c>
      <c r="G23" s="247">
        <v>36650</v>
      </c>
      <c r="H23" s="139">
        <f>'[20]2. Overall com progres June-14'!H23</f>
        <v>3122</v>
      </c>
      <c r="I23" s="136">
        <v>0</v>
      </c>
      <c r="J23" s="148">
        <f>'[21]2. Overall cum progress June 14'!J23</f>
        <v>100704</v>
      </c>
      <c r="K23" s="148">
        <f>'[22]2. Overall cum progress June 14'!K23</f>
        <v>36982</v>
      </c>
      <c r="L23" s="148">
        <f>'[18]2. Overall cum progress June 14'!L23</f>
        <v>17239</v>
      </c>
      <c r="M23" s="139">
        <f t="shared" si="14"/>
        <v>197908</v>
      </c>
      <c r="N23" s="74"/>
      <c r="O23" s="61"/>
      <c r="X23" s="56">
        <f>C23-'2. Overall cum progress Mar Ref'!C23</f>
        <v>0</v>
      </c>
      <c r="Y23" s="56">
        <f>D23-'2. Overall cum progress Mar Ref'!D23</f>
        <v>0</v>
      </c>
      <c r="Z23" s="56">
        <f>E23-'2. Overall cum progress Mar Ref'!E23</f>
        <v>0</v>
      </c>
      <c r="AA23" s="56">
        <f>F23-'2. Overall cum progress Mar Ref'!F23</f>
        <v>0</v>
      </c>
      <c r="AB23" s="56">
        <f>G23-'2. Overall cum progress Mar Ref'!G23</f>
        <v>6457</v>
      </c>
      <c r="AC23" s="56">
        <f>H23-'2. Overall cum progress Mar Ref'!H23</f>
        <v>193</v>
      </c>
      <c r="AD23" s="56">
        <f>I23-'2. Overall cum progress Mar Ref'!I23</f>
        <v>0</v>
      </c>
      <c r="AE23" s="56">
        <f>J23-'2. Overall cum progress Mar Ref'!J23</f>
        <v>3940</v>
      </c>
      <c r="AF23" s="56">
        <f>K23-'2. Overall cum progress Mar Ref'!K23</f>
        <v>2123</v>
      </c>
      <c r="AG23" s="56">
        <f>L23-'2. Overall cum progress Mar Ref'!L23</f>
        <v>138</v>
      </c>
      <c r="AH23" s="56">
        <f>M23-'2. Overall cum progress Mar Ref'!M23</f>
        <v>12851</v>
      </c>
    </row>
    <row r="24" spans="1:34" s="56" customFormat="1" ht="25.5">
      <c r="A24" s="376"/>
      <c r="B24" s="97" t="s">
        <v>206</v>
      </c>
      <c r="C24" s="139">
        <f>'2. Overall cum progress Mar Ref'!C24</f>
        <v>16</v>
      </c>
      <c r="D24" s="139">
        <f>'2. Overall cum progress Mar Ref'!D24</f>
        <v>16.106083000000002</v>
      </c>
      <c r="E24" s="148">
        <f>'[17]2. Overall cum progress June 14'!E24</f>
        <v>1</v>
      </c>
      <c r="F24" s="148">
        <f>'[19]2. Overall cum progress June 14'!F24</f>
        <v>0.6</v>
      </c>
      <c r="G24" s="247">
        <v>397.36649999999997</v>
      </c>
      <c r="H24" s="139">
        <f>'[20]2. Overall com progres June-14'!H24</f>
        <v>38.25</v>
      </c>
      <c r="I24" s="136">
        <v>0</v>
      </c>
      <c r="J24" s="148">
        <f>'[21]2. Overall cum progress June 14'!J24</f>
        <v>1047</v>
      </c>
      <c r="K24" s="148">
        <f>'[22]2. Overall cum progress June 14'!K24</f>
        <v>402</v>
      </c>
      <c r="L24" s="148">
        <f>'[18]2. Overall cum progress June 14'!L24</f>
        <v>230.023</v>
      </c>
      <c r="M24" s="95">
        <f t="shared" si="14"/>
        <v>2148.3455829999998</v>
      </c>
      <c r="N24" s="75">
        <f>M24/90</f>
        <v>23.870506477777777</v>
      </c>
      <c r="O24" s="103">
        <f>M24/85</f>
        <v>25.274653917647058</v>
      </c>
      <c r="X24" s="56">
        <f>C24-'2. Overall cum progress Mar Ref'!C24</f>
        <v>0</v>
      </c>
      <c r="Y24" s="56">
        <f>D24-'2. Overall cum progress Mar Ref'!D24</f>
        <v>0</v>
      </c>
      <c r="Z24" s="56">
        <f>E24-'2. Overall cum progress Mar Ref'!E24</f>
        <v>0</v>
      </c>
      <c r="AA24" s="56">
        <f>F24-'2. Overall cum progress Mar Ref'!F24</f>
        <v>0</v>
      </c>
      <c r="AB24" s="56">
        <f>G24-'2. Overall cum progress Mar Ref'!G24</f>
        <v>15.966499999999996</v>
      </c>
      <c r="AC24" s="56">
        <f>H24-'2. Overall cum progress Mar Ref'!H24</f>
        <v>3.509999999999998</v>
      </c>
      <c r="AD24" s="56">
        <f>I24-'2. Overall cum progress Mar Ref'!I24</f>
        <v>0</v>
      </c>
      <c r="AE24" s="56">
        <f>J24-'2. Overall cum progress Mar Ref'!J24</f>
        <v>70</v>
      </c>
      <c r="AF24" s="56">
        <f>K24-'2. Overall cum progress Mar Ref'!K24</f>
        <v>22.891500000000008</v>
      </c>
      <c r="AG24" s="56">
        <f>L24-'2. Overall cum progress Mar Ref'!L24</f>
        <v>1.7280000000000086</v>
      </c>
      <c r="AH24" s="56">
        <f>M24-'2. Overall cum progress Mar Ref'!M24</f>
        <v>114.09599999999978</v>
      </c>
    </row>
    <row r="25" spans="1:34" s="60" customFormat="1">
      <c r="A25" s="377" t="s">
        <v>20</v>
      </c>
      <c r="B25" s="100" t="s">
        <v>17</v>
      </c>
      <c r="C25" s="139">
        <f>'2. Overall cum progress Mar Ref'!C25</f>
        <v>79.263000000000005</v>
      </c>
      <c r="D25" s="139">
        <f>'2. Overall cum progress Mar Ref'!D25</f>
        <v>195</v>
      </c>
      <c r="E25" s="148">
        <f>'[17]2. Overall cum progress June 14'!E25</f>
        <v>9</v>
      </c>
      <c r="F25" s="148">
        <f>'[19]2. Overall cum progress June 14'!F25</f>
        <v>436</v>
      </c>
      <c r="G25" s="247">
        <v>37765.17121</v>
      </c>
      <c r="H25" s="139">
        <f>'[20]2. Overall com progres June-14'!H25</f>
        <v>4978.57</v>
      </c>
      <c r="I25" s="136">
        <v>0</v>
      </c>
      <c r="J25" s="148">
        <f>'[21]2. Overall cum progress June 14'!J25</f>
        <v>5110</v>
      </c>
      <c r="K25" s="148">
        <f>'[22]2. Overall cum progress June 14'!K25</f>
        <v>385</v>
      </c>
      <c r="L25" s="148">
        <f>'[18]2. Overall cum progress June 14'!L25</f>
        <v>3598.4669999999996</v>
      </c>
      <c r="M25" s="139">
        <f t="shared" si="14"/>
        <v>52556.471209999996</v>
      </c>
      <c r="N25" s="102">
        <f>M25/1000</f>
        <v>52.556471209999998</v>
      </c>
      <c r="O25" s="103">
        <f>M25/85</f>
        <v>618.31142599999998</v>
      </c>
      <c r="X25" s="56">
        <f>C25-'2. Overall cum progress Mar Ref'!C25</f>
        <v>0</v>
      </c>
      <c r="Y25" s="56">
        <f>D25-'2. Overall cum progress Mar Ref'!D25</f>
        <v>0</v>
      </c>
      <c r="Z25" s="56">
        <f>E25-'2. Overall cum progress Mar Ref'!E25</f>
        <v>0</v>
      </c>
      <c r="AA25" s="56">
        <f>F25-'2. Overall cum progress Mar Ref'!F25</f>
        <v>32</v>
      </c>
      <c r="AB25" s="56">
        <f>G25-'2. Overall cum progress Mar Ref'!G25</f>
        <v>2555.809500000003</v>
      </c>
      <c r="AC25" s="56">
        <f>H25-'2. Overall cum progress Mar Ref'!H25</f>
        <v>342.03999999999905</v>
      </c>
      <c r="AD25" s="56">
        <f>I25-'2. Overall cum progress Mar Ref'!I25</f>
        <v>0</v>
      </c>
      <c r="AE25" s="56">
        <f>J25-'2. Overall cum progress Mar Ref'!J25</f>
        <v>823</v>
      </c>
      <c r="AF25" s="56">
        <f>K25-'2. Overall cum progress Mar Ref'!K25</f>
        <v>18.225999999999999</v>
      </c>
      <c r="AG25" s="56">
        <f>L25-'2. Overall cum progress Mar Ref'!L25</f>
        <v>166.4099999999994</v>
      </c>
      <c r="AH25" s="56">
        <f>M25-'2. Overall cum progress Mar Ref'!M25</f>
        <v>3937.4855000000025</v>
      </c>
    </row>
    <row r="26" spans="1:34" s="60" customFormat="1">
      <c r="A26" s="377"/>
      <c r="B26" s="94" t="s">
        <v>18</v>
      </c>
      <c r="C26" s="139">
        <f>'2. Overall cum progress Mar Ref'!C26</f>
        <v>58.572000000000003</v>
      </c>
      <c r="D26" s="139">
        <f>'2. Overall cum progress Mar Ref'!D26</f>
        <v>833</v>
      </c>
      <c r="E26" s="148">
        <f>'[17]2. Overall cum progress June 14'!E26</f>
        <v>16</v>
      </c>
      <c r="F26" s="148">
        <f>'[19]2. Overall cum progress June 14'!F26</f>
        <v>90</v>
      </c>
      <c r="G26" s="247">
        <v>46778.282202000002</v>
      </c>
      <c r="H26" s="139">
        <f>'[20]2. Overall com progres June-14'!H26</f>
        <v>6599.49</v>
      </c>
      <c r="I26" s="136">
        <v>0</v>
      </c>
      <c r="J26" s="148">
        <f>'[21]2. Overall cum progress June 14'!J26</f>
        <v>671</v>
      </c>
      <c r="K26" s="148">
        <f>'[22]2. Overall cum progress June 14'!K26</f>
        <v>282</v>
      </c>
      <c r="L26" s="148">
        <f>'[18]2. Overall cum progress June 14'!L26</f>
        <v>3781.9030000000002</v>
      </c>
      <c r="M26" s="139">
        <f t="shared" si="14"/>
        <v>59110.247201999999</v>
      </c>
      <c r="N26" s="74"/>
      <c r="O26" s="103"/>
      <c r="X26" s="56">
        <f>C26-'2. Overall cum progress Mar Ref'!C26</f>
        <v>0</v>
      </c>
      <c r="Y26" s="56">
        <f>D26-'2. Overall cum progress Mar Ref'!D26</f>
        <v>0</v>
      </c>
      <c r="Z26" s="56">
        <f>E26-'2. Overall cum progress Mar Ref'!E26</f>
        <v>0</v>
      </c>
      <c r="AA26" s="56">
        <f>F26-'2. Overall cum progress Mar Ref'!F26</f>
        <v>3</v>
      </c>
      <c r="AB26" s="56">
        <f>G26-'2. Overall cum progress Mar Ref'!G26</f>
        <v>1617.148000000001</v>
      </c>
      <c r="AC26" s="56">
        <f>H26-'2. Overall cum progress Mar Ref'!H26</f>
        <v>149.97999999999956</v>
      </c>
      <c r="AD26" s="56">
        <f>I26-'2. Overall cum progress Mar Ref'!I26</f>
        <v>0</v>
      </c>
      <c r="AE26" s="56">
        <f>J26-'2. Overall cum progress Mar Ref'!J26</f>
        <v>25</v>
      </c>
      <c r="AF26" s="56">
        <f>K26-'2. Overall cum progress Mar Ref'!K26</f>
        <v>2.0860000000000127</v>
      </c>
      <c r="AG26" s="56">
        <f>L26-'2. Overall cum progress Mar Ref'!L26</f>
        <v>505.51000000000022</v>
      </c>
      <c r="AH26" s="56">
        <f>M26-'2. Overall cum progress Mar Ref'!M26</f>
        <v>2302.724000000002</v>
      </c>
    </row>
    <row r="27" spans="1:34" s="60" customFormat="1">
      <c r="A27" s="377"/>
      <c r="B27" s="101" t="s">
        <v>16</v>
      </c>
      <c r="C27" s="140">
        <f>SUM(C25:C26)</f>
        <v>137.83500000000001</v>
      </c>
      <c r="D27" s="140">
        <f t="shared" ref="D27:M27" si="15">SUM(D25:D26)</f>
        <v>1028</v>
      </c>
      <c r="E27" s="140">
        <f t="shared" si="15"/>
        <v>25</v>
      </c>
      <c r="F27" s="140">
        <f t="shared" ref="F27:G27" si="16">SUM(F25:F26)</f>
        <v>526</v>
      </c>
      <c r="G27" s="140">
        <f t="shared" si="16"/>
        <v>84543.453412000003</v>
      </c>
      <c r="H27" s="140">
        <f t="shared" ref="H27" si="17">SUM(H25:H26)</f>
        <v>11578.06</v>
      </c>
      <c r="I27" s="140">
        <f t="shared" si="15"/>
        <v>0</v>
      </c>
      <c r="J27" s="140">
        <f t="shared" si="15"/>
        <v>5781</v>
      </c>
      <c r="K27" s="140">
        <f>SUM(K25:K26)</f>
        <v>667</v>
      </c>
      <c r="L27" s="140">
        <f t="shared" ref="L27" si="18">SUM(L25:L26)</f>
        <v>7380.37</v>
      </c>
      <c r="M27" s="140">
        <f t="shared" si="15"/>
        <v>111666.71841199999</v>
      </c>
      <c r="N27" s="102">
        <f>M27/1000</f>
        <v>111.66671841199999</v>
      </c>
      <c r="O27" s="103">
        <f>M27/85</f>
        <v>1313.7260989647057</v>
      </c>
      <c r="X27" s="56">
        <f>C27-'2. Overall cum progress Mar Ref'!C27</f>
        <v>0</v>
      </c>
      <c r="Y27" s="56">
        <f>D27-'2. Overall cum progress Mar Ref'!D27</f>
        <v>0</v>
      </c>
      <c r="Z27" s="56">
        <f>E27-'2. Overall cum progress Mar Ref'!E27</f>
        <v>0</v>
      </c>
      <c r="AA27" s="56">
        <f>F27-'2. Overall cum progress Mar Ref'!F27</f>
        <v>35</v>
      </c>
      <c r="AB27" s="56">
        <f>G27-'2. Overall cum progress Mar Ref'!G27</f>
        <v>4172.9575000000041</v>
      </c>
      <c r="AC27" s="56">
        <f>H27-'2. Overall cum progress Mar Ref'!H27</f>
        <v>492.01999999999862</v>
      </c>
      <c r="AD27" s="56">
        <f>I27-'2. Overall cum progress Mar Ref'!I27</f>
        <v>0</v>
      </c>
      <c r="AE27" s="56">
        <f>J27-'2. Overall cum progress Mar Ref'!J27</f>
        <v>848</v>
      </c>
      <c r="AF27" s="56">
        <f>K27-'2. Overall cum progress Mar Ref'!K27</f>
        <v>20.312000000000012</v>
      </c>
      <c r="AG27" s="56">
        <f>L27-'2. Overall cum progress Mar Ref'!L27</f>
        <v>671.91999999999916</v>
      </c>
      <c r="AH27" s="56">
        <f>M27-'2. Overall cum progress Mar Ref'!M27</f>
        <v>6240.2094999999972</v>
      </c>
    </row>
    <row r="28" spans="1:34" s="56" customFormat="1">
      <c r="A28" s="367" t="s">
        <v>21</v>
      </c>
      <c r="B28" s="96" t="s">
        <v>17</v>
      </c>
      <c r="C28" s="139">
        <f>'2. Overall cum progress Mar Ref'!C28</f>
        <v>4764</v>
      </c>
      <c r="D28" s="139">
        <f>'2. Overall cum progress Mar Ref'!D28</f>
        <v>74813</v>
      </c>
      <c r="E28" s="148">
        <f>'[17]2. Overall cum progress June 14'!E28</f>
        <v>1156</v>
      </c>
      <c r="F28" s="148">
        <f>'[19]2. Overall cum progress June 14'!F28</f>
        <v>28209</v>
      </c>
      <c r="G28" s="149">
        <v>2365236</v>
      </c>
      <c r="H28" s="139">
        <f>'[20]2. Overall com progres June-14'!H28</f>
        <v>342016</v>
      </c>
      <c r="I28" s="136">
        <v>0</v>
      </c>
      <c r="J28" s="148">
        <f>'[21]2. Overall cum progress June 14'!J28</f>
        <v>305911</v>
      </c>
      <c r="K28" s="148">
        <f>'[22]2. Overall cum progress June 14'!K28</f>
        <v>33268</v>
      </c>
      <c r="L28" s="148">
        <f>'[18]2. Overall cum progress June 14'!L28</f>
        <v>266370</v>
      </c>
      <c r="M28" s="139">
        <f>SUM(C28:L28)</f>
        <v>3421743</v>
      </c>
      <c r="N28" s="102">
        <f>M28/1000000</f>
        <v>3.4217430000000002</v>
      </c>
      <c r="O28" s="61"/>
      <c r="P28" s="56">
        <f>M28/M30%</f>
        <v>46.355031429500379</v>
      </c>
      <c r="X28" s="56">
        <f>C28-'2. Overall cum progress Mar Ref'!C28</f>
        <v>0</v>
      </c>
      <c r="Y28" s="56">
        <f>D28-'2. Overall cum progress Mar Ref'!D28</f>
        <v>0</v>
      </c>
      <c r="Z28" s="56">
        <f>E28-'2. Overall cum progress Mar Ref'!E28</f>
        <v>0</v>
      </c>
      <c r="AA28" s="56">
        <f>F28-'2. Overall cum progress Mar Ref'!F28</f>
        <v>1820</v>
      </c>
      <c r="AB28" s="56">
        <f>G28-'2. Overall cum progress Mar Ref'!G28</f>
        <v>110991</v>
      </c>
      <c r="AC28" s="56">
        <f>H28-'2. Overall cum progress Mar Ref'!H28</f>
        <v>18004</v>
      </c>
      <c r="AD28" s="56">
        <f>I28-'2. Overall cum progress Mar Ref'!I28</f>
        <v>0</v>
      </c>
      <c r="AE28" s="56">
        <f>J28-'2. Overall cum progress Mar Ref'!J28</f>
        <v>43107</v>
      </c>
      <c r="AF28" s="56">
        <f>K28-'2. Overall cum progress Mar Ref'!K28</f>
        <v>1514</v>
      </c>
      <c r="AG28" s="56">
        <f>L28-'2. Overall cum progress Mar Ref'!L28</f>
        <v>11278</v>
      </c>
      <c r="AH28" s="56">
        <f>M28-'2. Overall cum progress Mar Ref'!M28</f>
        <v>186714</v>
      </c>
    </row>
    <row r="29" spans="1:34" s="56" customFormat="1">
      <c r="A29" s="367"/>
      <c r="B29" s="97" t="s">
        <v>18</v>
      </c>
      <c r="C29" s="139">
        <f>'2. Overall cum progress Mar Ref'!C29</f>
        <v>3217</v>
      </c>
      <c r="D29" s="139">
        <f>'2. Overall cum progress Mar Ref'!D29</f>
        <v>546311</v>
      </c>
      <c r="E29" s="148">
        <f>'[17]2. Overall cum progress June 14'!E29</f>
        <v>1600</v>
      </c>
      <c r="F29" s="148">
        <f>'[19]2. Overall cum progress June 14'!F29</f>
        <v>6174</v>
      </c>
      <c r="G29" s="149">
        <v>2660565</v>
      </c>
      <c r="H29" s="139">
        <f>'[20]2. Overall com progres June-14'!H29</f>
        <v>453371</v>
      </c>
      <c r="I29" s="136">
        <v>0</v>
      </c>
      <c r="J29" s="148">
        <f>'[21]2. Overall cum progress June 14'!J29</f>
        <v>45299</v>
      </c>
      <c r="K29" s="148">
        <f>'[22]2. Overall cum progress June 14'!K29</f>
        <v>25641</v>
      </c>
      <c r="L29" s="148">
        <f>'[18]2. Overall cum progress June 14'!L29</f>
        <v>217679</v>
      </c>
      <c r="M29" s="139">
        <f>SUM(C29:L29)</f>
        <v>3959857</v>
      </c>
      <c r="N29" s="102"/>
      <c r="O29" s="61"/>
      <c r="X29" s="56">
        <f>C29-'2. Overall cum progress Mar Ref'!C29</f>
        <v>0</v>
      </c>
      <c r="Y29" s="56">
        <f>D29-'2. Overall cum progress Mar Ref'!D29</f>
        <v>0</v>
      </c>
      <c r="Z29" s="56">
        <f>E29-'2. Overall cum progress Mar Ref'!E29</f>
        <v>0</v>
      </c>
      <c r="AA29" s="56">
        <f>F29-'2. Overall cum progress Mar Ref'!F29</f>
        <v>184</v>
      </c>
      <c r="AB29" s="56">
        <f>G29-'2. Overall cum progress Mar Ref'!G29</f>
        <v>55405</v>
      </c>
      <c r="AC29" s="56">
        <f>H29-'2. Overall cum progress Mar Ref'!H29</f>
        <v>4669</v>
      </c>
      <c r="AD29" s="56">
        <f>I29-'2. Overall cum progress Mar Ref'!I29</f>
        <v>0</v>
      </c>
      <c r="AE29" s="56">
        <f>J29-'2. Overall cum progress Mar Ref'!J29</f>
        <v>1039</v>
      </c>
      <c r="AF29" s="56">
        <f>K29-'2. Overall cum progress Mar Ref'!K29</f>
        <v>90</v>
      </c>
      <c r="AG29" s="56">
        <f>L29-'2. Overall cum progress Mar Ref'!L29</f>
        <v>25404</v>
      </c>
      <c r="AH29" s="56">
        <f>M29-'2. Overall cum progress Mar Ref'!M29</f>
        <v>86791</v>
      </c>
    </row>
    <row r="30" spans="1:34" s="56" customFormat="1">
      <c r="A30" s="367"/>
      <c r="B30" s="98" t="s">
        <v>16</v>
      </c>
      <c r="C30" s="140">
        <f>SUM(C28:C29)</f>
        <v>7981</v>
      </c>
      <c r="D30" s="140">
        <f t="shared" ref="D30:M30" si="19">SUM(D28:D29)</f>
        <v>621124</v>
      </c>
      <c r="E30" s="140">
        <f t="shared" si="19"/>
        <v>2756</v>
      </c>
      <c r="F30" s="140">
        <f t="shared" ref="F30:G30" si="20">SUM(F28:F29)</f>
        <v>34383</v>
      </c>
      <c r="G30" s="140">
        <f t="shared" si="20"/>
        <v>5025801</v>
      </c>
      <c r="H30" s="140">
        <f>SUM(H28:H29)</f>
        <v>795387</v>
      </c>
      <c r="I30" s="140">
        <f t="shared" si="19"/>
        <v>0</v>
      </c>
      <c r="J30" s="140">
        <f t="shared" si="19"/>
        <v>351210</v>
      </c>
      <c r="K30" s="140">
        <f t="shared" si="19"/>
        <v>58909</v>
      </c>
      <c r="L30" s="140">
        <f t="shared" ref="L30" si="21">SUM(L28:L29)</f>
        <v>484049</v>
      </c>
      <c r="M30" s="140">
        <f t="shared" si="19"/>
        <v>7381600</v>
      </c>
      <c r="N30" s="102">
        <f>M30/1000000</f>
        <v>7.3815999999999997</v>
      </c>
      <c r="O30" s="61"/>
      <c r="X30" s="56">
        <f>C30-'2. Overall cum progress Mar Ref'!C30</f>
        <v>0</v>
      </c>
      <c r="Y30" s="56">
        <f>D30-'2. Overall cum progress Mar Ref'!D30</f>
        <v>0</v>
      </c>
      <c r="Z30" s="56">
        <f>E30-'2. Overall cum progress Mar Ref'!E30</f>
        <v>0</v>
      </c>
      <c r="AA30" s="56">
        <f>F30-'2. Overall cum progress Mar Ref'!F30</f>
        <v>2004</v>
      </c>
      <c r="AB30" s="56">
        <f>G30-'2. Overall cum progress Mar Ref'!G30</f>
        <v>166396</v>
      </c>
      <c r="AC30" s="56">
        <f>H30-'2. Overall cum progress Mar Ref'!H30</f>
        <v>22673</v>
      </c>
      <c r="AD30" s="56">
        <f>I30-'2. Overall cum progress Mar Ref'!I30</f>
        <v>0</v>
      </c>
      <c r="AE30" s="56">
        <f>J30-'2. Overall cum progress Mar Ref'!J30</f>
        <v>44146</v>
      </c>
      <c r="AF30" s="56">
        <f>K30-'2. Overall cum progress Mar Ref'!K30</f>
        <v>1604</v>
      </c>
      <c r="AG30" s="56">
        <f>L30-'2. Overall cum progress Mar Ref'!L30</f>
        <v>36682</v>
      </c>
      <c r="AH30" s="56">
        <f>M30-'2. Overall cum progress Mar Ref'!M30</f>
        <v>273505</v>
      </c>
    </row>
    <row r="31" spans="1:34" s="61" customFormat="1">
      <c r="A31" s="377" t="s">
        <v>207</v>
      </c>
      <c r="B31" s="96" t="s">
        <v>17</v>
      </c>
      <c r="C31" s="139">
        <f>'2. Overall cum progress Mar Ref'!C31</f>
        <v>0</v>
      </c>
      <c r="D31" s="139">
        <f>'2. Overall cum progress Mar Ref'!D31</f>
        <v>74813</v>
      </c>
      <c r="E31" s="148">
        <f>'[17]2. Overall cum progress June 14'!E31</f>
        <v>0</v>
      </c>
      <c r="F31" s="148">
        <f>'[19]2. Overall cum progress June 14'!F31</f>
        <v>24922</v>
      </c>
      <c r="G31" s="149">
        <v>879321</v>
      </c>
      <c r="H31" s="139">
        <f>'[20]2. Overall com progres June-14'!H31</f>
        <v>0</v>
      </c>
      <c r="I31" s="136">
        <v>0</v>
      </c>
      <c r="J31" s="148">
        <f>'[21]2. Overall cum progress June 14'!J31</f>
        <v>252225</v>
      </c>
      <c r="K31" s="223">
        <v>5834</v>
      </c>
      <c r="L31" s="148">
        <f>'[18]2. Overall cum progress June 14'!L31</f>
        <v>86533</v>
      </c>
      <c r="M31" s="139">
        <f>SUM(C31:L31)</f>
        <v>1323648</v>
      </c>
      <c r="N31" s="61">
        <f>M31/M33%</f>
        <v>32.497327587011164</v>
      </c>
      <c r="X31" s="56">
        <f>C31-'2. Overall cum progress Mar Ref'!C31</f>
        <v>0</v>
      </c>
      <c r="Y31" s="56">
        <f>D31-'2. Overall cum progress Mar Ref'!D31</f>
        <v>0</v>
      </c>
      <c r="Z31" s="56">
        <f>E31-'2. Overall cum progress Mar Ref'!E31</f>
        <v>0</v>
      </c>
      <c r="AA31" s="56">
        <f>F31-'2. Overall cum progress Mar Ref'!F31</f>
        <v>1869</v>
      </c>
      <c r="AB31" s="56">
        <f>G31-'2. Overall cum progress Mar Ref'!G31</f>
        <v>48609</v>
      </c>
      <c r="AC31" s="56">
        <f>H31-'2. Overall cum progress Mar Ref'!H31</f>
        <v>0</v>
      </c>
      <c r="AD31" s="56">
        <f>I31-'2. Overall cum progress Mar Ref'!I31</f>
        <v>0</v>
      </c>
      <c r="AE31" s="56">
        <f>J31-'2. Overall cum progress Mar Ref'!J31</f>
        <v>27131</v>
      </c>
      <c r="AF31" s="56">
        <f>K31-'2. Overall cum progress Mar Ref'!K31</f>
        <v>0</v>
      </c>
      <c r="AG31" s="56">
        <f>L31-'2. Overall cum progress Mar Ref'!L31</f>
        <v>0</v>
      </c>
      <c r="AH31" s="56">
        <f>M31-'2. Overall cum progress Mar Ref'!M31</f>
        <v>77609</v>
      </c>
    </row>
    <row r="32" spans="1:34" s="61" customFormat="1">
      <c r="A32" s="377"/>
      <c r="B32" s="97" t="s">
        <v>18</v>
      </c>
      <c r="C32" s="139">
        <f>'2. Overall cum progress Mar Ref'!C32</f>
        <v>0</v>
      </c>
      <c r="D32" s="139">
        <f>'2. Overall cum progress Mar Ref'!D32</f>
        <v>546311</v>
      </c>
      <c r="E32" s="148">
        <f>'[17]2. Overall cum progress June 14'!E32</f>
        <v>0</v>
      </c>
      <c r="F32" s="148">
        <f>'[19]2. Overall cum progress June 14'!F32</f>
        <v>7413</v>
      </c>
      <c r="G32" s="149">
        <v>2060744</v>
      </c>
      <c r="H32" s="139">
        <f>'[20]2. Overall com progres June-14'!H32</f>
        <v>0</v>
      </c>
      <c r="I32" s="136">
        <v>0</v>
      </c>
      <c r="J32" s="148">
        <f>'[21]2. Overall cum progress June 14'!J32</f>
        <v>40601</v>
      </c>
      <c r="K32" s="223">
        <v>21566</v>
      </c>
      <c r="L32" s="148">
        <f>'[18]2. Overall cum progress June 14'!L32</f>
        <v>72815</v>
      </c>
      <c r="M32" s="139">
        <f>SUM(C32:L32)</f>
        <v>2749450</v>
      </c>
      <c r="X32" s="56">
        <f>C32-'2. Overall cum progress Mar Ref'!C32</f>
        <v>0</v>
      </c>
      <c r="Y32" s="56">
        <f>D32-'2. Overall cum progress Mar Ref'!D32</f>
        <v>0</v>
      </c>
      <c r="Z32" s="56">
        <f>E32-'2. Overall cum progress Mar Ref'!E32</f>
        <v>0</v>
      </c>
      <c r="AA32" s="56">
        <f>F32-'2. Overall cum progress Mar Ref'!F32</f>
        <v>201</v>
      </c>
      <c r="AB32" s="56">
        <f>G32-'2. Overall cum progress Mar Ref'!G32</f>
        <v>52510</v>
      </c>
      <c r="AC32" s="56">
        <f>H32-'2. Overall cum progress Mar Ref'!H32</f>
        <v>0</v>
      </c>
      <c r="AD32" s="56">
        <f>I32-'2. Overall cum progress Mar Ref'!I32</f>
        <v>0</v>
      </c>
      <c r="AE32" s="56">
        <f>J32-'2. Overall cum progress Mar Ref'!J32</f>
        <v>0</v>
      </c>
      <c r="AF32" s="56">
        <f>K32-'2. Overall cum progress Mar Ref'!K32</f>
        <v>0</v>
      </c>
      <c r="AG32" s="56">
        <f>L32-'2. Overall cum progress Mar Ref'!L32</f>
        <v>0</v>
      </c>
      <c r="AH32" s="56">
        <f>M32-'2. Overall cum progress Mar Ref'!M32</f>
        <v>52711</v>
      </c>
    </row>
    <row r="33" spans="1:34" s="61" customFormat="1">
      <c r="A33" s="377"/>
      <c r="B33" s="98" t="s">
        <v>16</v>
      </c>
      <c r="C33" s="140">
        <f t="shared" ref="C33:M33" si="22">SUM(C31:C32)</f>
        <v>0</v>
      </c>
      <c r="D33" s="140">
        <f t="shared" si="22"/>
        <v>621124</v>
      </c>
      <c r="E33" s="140">
        <f t="shared" si="22"/>
        <v>0</v>
      </c>
      <c r="F33" s="140">
        <f t="shared" si="22"/>
        <v>32335</v>
      </c>
      <c r="G33" s="140">
        <f t="shared" si="22"/>
        <v>2940065</v>
      </c>
      <c r="H33" s="140">
        <f t="shared" si="22"/>
        <v>0</v>
      </c>
      <c r="I33" s="140">
        <f t="shared" si="22"/>
        <v>0</v>
      </c>
      <c r="J33" s="140">
        <f t="shared" si="22"/>
        <v>292826</v>
      </c>
      <c r="K33" s="228">
        <v>27400</v>
      </c>
      <c r="L33" s="140">
        <f t="shared" si="22"/>
        <v>159348</v>
      </c>
      <c r="M33" s="140">
        <f t="shared" si="22"/>
        <v>4073098</v>
      </c>
      <c r="N33" s="60">
        <f>M33/1000000</f>
        <v>4.0730979999999999</v>
      </c>
      <c r="X33" s="56">
        <f>C33-'2. Overall cum progress Mar Ref'!C33</f>
        <v>0</v>
      </c>
      <c r="Y33" s="56">
        <f>D33-'2. Overall cum progress Mar Ref'!D33</f>
        <v>0</v>
      </c>
      <c r="Z33" s="56">
        <f>E33-'2. Overall cum progress Mar Ref'!E33</f>
        <v>0</v>
      </c>
      <c r="AA33" s="56">
        <f>F33-'2. Overall cum progress Mar Ref'!F33</f>
        <v>2070</v>
      </c>
      <c r="AB33" s="56">
        <f>G33-'2. Overall cum progress Mar Ref'!G33</f>
        <v>101119</v>
      </c>
      <c r="AC33" s="56">
        <f>H33-'2. Overall cum progress Mar Ref'!H33</f>
        <v>0</v>
      </c>
      <c r="AD33" s="56">
        <f>I33-'2. Overall cum progress Mar Ref'!I33</f>
        <v>0</v>
      </c>
      <c r="AE33" s="56">
        <f>J33-'2. Overall cum progress Mar Ref'!J33</f>
        <v>27131</v>
      </c>
      <c r="AF33" s="56">
        <f>K33-'2. Overall cum progress Mar Ref'!K33</f>
        <v>0</v>
      </c>
      <c r="AG33" s="56">
        <f>L33-'2. Overall cum progress Mar Ref'!L33</f>
        <v>0</v>
      </c>
      <c r="AH33" s="56">
        <f>M33-'2. Overall cum progress Mar Ref'!M33</f>
        <v>130320</v>
      </c>
    </row>
    <row r="34" spans="1:34" s="56" customFormat="1" ht="13.15" customHeight="1">
      <c r="A34" s="378" t="s">
        <v>239</v>
      </c>
      <c r="B34" s="97" t="s">
        <v>17</v>
      </c>
      <c r="C34" s="139">
        <f>'2. Overall cum progress Mar Ref'!C34</f>
        <v>0</v>
      </c>
      <c r="D34" s="139">
        <f>'2. Overall cum progress Mar Ref'!D34</f>
        <v>74813</v>
      </c>
      <c r="E34" s="148">
        <f>'[17]2. Overall cum progress June 14'!E34</f>
        <v>0</v>
      </c>
      <c r="F34" s="148">
        <f>'[19]2. Overall cum progress June 14'!F34</f>
        <v>24922</v>
      </c>
      <c r="G34" s="149">
        <v>1787722</v>
      </c>
      <c r="H34" s="139">
        <f>'[20]2. Overall com progres June-14'!H34</f>
        <v>0</v>
      </c>
      <c r="I34" s="136">
        <v>0</v>
      </c>
      <c r="J34" s="148">
        <f>'[21]2. Overall cum progress June 14'!J34</f>
        <v>361851</v>
      </c>
      <c r="K34" s="223">
        <v>35004</v>
      </c>
      <c r="L34" s="148">
        <f>'[18]2. Overall cum progress June 14'!L34</f>
        <v>88190</v>
      </c>
      <c r="M34" s="139">
        <f>SUM(C34:L34)</f>
        <v>2372502</v>
      </c>
      <c r="N34" s="60">
        <f>M34/1000000</f>
        <v>2.3725019999999999</v>
      </c>
      <c r="O34" s="61"/>
      <c r="X34" s="56">
        <f>C34-'2. Overall cum progress Mar Ref'!C34</f>
        <v>0</v>
      </c>
      <c r="Y34" s="56">
        <f>D34-'2. Overall cum progress Mar Ref'!D34</f>
        <v>0</v>
      </c>
      <c r="Z34" s="56">
        <f>E34-'2. Overall cum progress Mar Ref'!E34</f>
        <v>0</v>
      </c>
      <c r="AA34" s="56">
        <f>F34-'2. Overall cum progress Mar Ref'!F34</f>
        <v>1869</v>
      </c>
      <c r="AB34" s="56">
        <f>G34-'2. Overall cum progress Mar Ref'!G34</f>
        <v>68775</v>
      </c>
      <c r="AC34" s="56">
        <f>H34-'2. Overall cum progress Mar Ref'!H34</f>
        <v>0</v>
      </c>
      <c r="AD34" s="56">
        <f>I34-'2. Overall cum progress Mar Ref'!I34</f>
        <v>0</v>
      </c>
      <c r="AE34" s="56">
        <f>J34-'2. Overall cum progress Mar Ref'!J34</f>
        <v>1836</v>
      </c>
      <c r="AF34" s="56">
        <f>K34-'2. Overall cum progress Mar Ref'!K34</f>
        <v>0</v>
      </c>
      <c r="AG34" s="56">
        <f>L34-'2. Overall cum progress Mar Ref'!L34</f>
        <v>0</v>
      </c>
      <c r="AH34" s="56">
        <f>M34-'2. Overall cum progress Mar Ref'!M34</f>
        <v>72480</v>
      </c>
    </row>
    <row r="35" spans="1:34" s="56" customFormat="1">
      <c r="A35" s="378"/>
      <c r="B35" s="97" t="s">
        <v>18</v>
      </c>
      <c r="C35" s="139">
        <f>'2. Overall cum progress Mar Ref'!C35</f>
        <v>0</v>
      </c>
      <c r="D35" s="139">
        <f>'2. Overall cum progress Mar Ref'!D35</f>
        <v>546311</v>
      </c>
      <c r="E35" s="148">
        <f>'[17]2. Overall cum progress June 14'!E35</f>
        <v>0</v>
      </c>
      <c r="F35" s="148">
        <f>'[19]2. Overall cum progress June 14'!F35</f>
        <v>7413</v>
      </c>
      <c r="G35" s="149">
        <v>2877873</v>
      </c>
      <c r="H35" s="139">
        <f>'[20]2. Overall com progres June-14'!H35</f>
        <v>0</v>
      </c>
      <c r="I35" s="136">
        <v>0</v>
      </c>
      <c r="J35" s="148">
        <f>'[21]2. Overall cum progress June 14'!J35</f>
        <v>257340</v>
      </c>
      <c r="K35" s="223">
        <v>129396</v>
      </c>
      <c r="L35" s="148">
        <f>'[18]2. Overall cum progress June 14'!L35</f>
        <v>73703</v>
      </c>
      <c r="M35" s="139">
        <f>SUM(C35:L35)</f>
        <v>3892036</v>
      </c>
      <c r="N35" s="74"/>
      <c r="O35" s="61"/>
      <c r="X35" s="56">
        <f>C35-'2. Overall cum progress Mar Ref'!C35</f>
        <v>0</v>
      </c>
      <c r="Y35" s="56">
        <f>D35-'2. Overall cum progress Mar Ref'!D35</f>
        <v>0</v>
      </c>
      <c r="Z35" s="56">
        <f>E35-'2. Overall cum progress Mar Ref'!E35</f>
        <v>0</v>
      </c>
      <c r="AA35" s="56">
        <f>F35-'2. Overall cum progress Mar Ref'!F35</f>
        <v>201</v>
      </c>
      <c r="AB35" s="56">
        <f>G35-'2. Overall cum progress Mar Ref'!G35</f>
        <v>79111</v>
      </c>
      <c r="AC35" s="56">
        <f>H35-'2. Overall cum progress Mar Ref'!H35</f>
        <v>0</v>
      </c>
      <c r="AD35" s="56">
        <f>I35-'2. Overall cum progress Mar Ref'!I35</f>
        <v>0</v>
      </c>
      <c r="AE35" s="56">
        <f>J35-'2. Overall cum progress Mar Ref'!J35</f>
        <v>0</v>
      </c>
      <c r="AF35" s="56">
        <f>K35-'2. Overall cum progress Mar Ref'!K35</f>
        <v>0</v>
      </c>
      <c r="AG35" s="56">
        <f>L35-'2. Overall cum progress Mar Ref'!L35</f>
        <v>0</v>
      </c>
      <c r="AH35" s="56">
        <f>M35-'2. Overall cum progress Mar Ref'!M35</f>
        <v>79312</v>
      </c>
    </row>
    <row r="36" spans="1:34" s="56" customFormat="1">
      <c r="A36" s="378"/>
      <c r="B36" s="98" t="s">
        <v>16</v>
      </c>
      <c r="C36" s="140">
        <f>SUM(C34:C35)</f>
        <v>0</v>
      </c>
      <c r="D36" s="140">
        <f t="shared" ref="D36:M36" si="23">SUM(D34:D35)</f>
        <v>621124</v>
      </c>
      <c r="E36" s="140">
        <f t="shared" si="23"/>
        <v>0</v>
      </c>
      <c r="F36" s="140">
        <f t="shared" ref="F36:G36" si="24">SUM(F34:F35)</f>
        <v>32335</v>
      </c>
      <c r="G36" s="140">
        <f t="shared" si="24"/>
        <v>4665595</v>
      </c>
      <c r="H36" s="140">
        <f>SUM(H34:H35)</f>
        <v>0</v>
      </c>
      <c r="I36" s="140">
        <f t="shared" si="23"/>
        <v>0</v>
      </c>
      <c r="J36" s="140">
        <f t="shared" si="23"/>
        <v>619191</v>
      </c>
      <c r="K36" s="228">
        <v>164400</v>
      </c>
      <c r="L36" s="140">
        <f t="shared" ref="L36" si="25">SUM(L34:L35)</f>
        <v>161893</v>
      </c>
      <c r="M36" s="140">
        <f t="shared" si="23"/>
        <v>6264538</v>
      </c>
      <c r="N36" s="60">
        <f>M36/1000000</f>
        <v>6.2645379999999999</v>
      </c>
      <c r="O36" s="61"/>
      <c r="X36" s="56">
        <f>C36-'2. Overall cum progress Mar Ref'!C36</f>
        <v>0</v>
      </c>
      <c r="Y36" s="56">
        <f>D36-'2. Overall cum progress Mar Ref'!D36</f>
        <v>0</v>
      </c>
      <c r="Z36" s="56">
        <f>E36-'2. Overall cum progress Mar Ref'!E36</f>
        <v>0</v>
      </c>
      <c r="AA36" s="56">
        <f>F36-'2. Overall cum progress Mar Ref'!F36</f>
        <v>2070</v>
      </c>
      <c r="AB36" s="56">
        <f>G36-'2. Overall cum progress Mar Ref'!G36</f>
        <v>147886</v>
      </c>
      <c r="AC36" s="56">
        <f>H36-'2. Overall cum progress Mar Ref'!H36</f>
        <v>0</v>
      </c>
      <c r="AD36" s="56">
        <f>I36-'2. Overall cum progress Mar Ref'!I36</f>
        <v>0</v>
      </c>
      <c r="AE36" s="56">
        <f>J36-'2. Overall cum progress Mar Ref'!J36</f>
        <v>1836</v>
      </c>
      <c r="AF36" s="56">
        <f>K36-'2. Overall cum progress Mar Ref'!K36</f>
        <v>0</v>
      </c>
      <c r="AG36" s="56">
        <f>L36-'2. Overall cum progress Mar Ref'!L36</f>
        <v>0</v>
      </c>
      <c r="AH36" s="56">
        <f>M36-'2. Overall cum progress Mar Ref'!M36</f>
        <v>151792</v>
      </c>
    </row>
    <row r="37" spans="1:34" s="62" customFormat="1">
      <c r="A37" s="379" t="s">
        <v>288</v>
      </c>
      <c r="B37" s="380"/>
      <c r="C37" s="139">
        <f>'2. Overall cum progress Mar Ref'!C37</f>
        <v>1637</v>
      </c>
      <c r="D37" s="139">
        <f>'2. Overall cum progress Mar Ref'!D37</f>
        <v>3576</v>
      </c>
      <c r="E37" s="148">
        <f>'[17]2. Overall cum progress June 14'!E37</f>
        <v>1477</v>
      </c>
      <c r="F37" s="148">
        <f>'[19]2. Overall cum progress June 14'!F37</f>
        <v>670</v>
      </c>
      <c r="G37" s="149">
        <v>30225</v>
      </c>
      <c r="H37" s="139">
        <f>'[20]2. Overall com progres June-14'!H37</f>
        <v>6433</v>
      </c>
      <c r="I37" s="136">
        <v>0</v>
      </c>
      <c r="J37" s="148">
        <f>'[21]2. Overall cum progress June 14'!J37</f>
        <v>39606</v>
      </c>
      <c r="K37" s="148">
        <f>'[22]2. Overall cum progress June 14'!K37</f>
        <v>8713</v>
      </c>
      <c r="L37" s="148">
        <f>'[18]2. Overall cum progress June 14'!L37</f>
        <v>60789</v>
      </c>
      <c r="M37" s="139">
        <f t="shared" ref="M37:M45" si="26">SUM(C37:L37)</f>
        <v>153126</v>
      </c>
      <c r="N37" s="74"/>
      <c r="O37" s="61"/>
      <c r="X37" s="56">
        <f>C37-'2. Overall cum progress Mar Ref'!C37</f>
        <v>0</v>
      </c>
      <c r="Y37" s="56">
        <f>D37-'2. Overall cum progress Mar Ref'!D37</f>
        <v>0</v>
      </c>
      <c r="Z37" s="56">
        <f>E37-'2. Overall cum progress Mar Ref'!E37</f>
        <v>0</v>
      </c>
      <c r="AA37" s="56">
        <f>F37-'2. Overall cum progress Mar Ref'!F37</f>
        <v>31</v>
      </c>
      <c r="AB37" s="56">
        <f>G37-'2. Overall cum progress Mar Ref'!G37</f>
        <v>176</v>
      </c>
      <c r="AC37" s="56">
        <f>H37-'2. Overall cum progress Mar Ref'!H37</f>
        <v>0</v>
      </c>
      <c r="AD37" s="56">
        <f>I37-'2. Overall cum progress Mar Ref'!I37</f>
        <v>0</v>
      </c>
      <c r="AE37" s="56">
        <f>J37-'2. Overall cum progress Mar Ref'!J37</f>
        <v>0</v>
      </c>
      <c r="AF37" s="56">
        <f>K37-'2. Overall cum progress Mar Ref'!K37</f>
        <v>39</v>
      </c>
      <c r="AG37" s="56">
        <f>L37-'2. Overall cum progress Mar Ref'!L37</f>
        <v>230</v>
      </c>
      <c r="AH37" s="56">
        <f>M37-'2. Overall cum progress Mar Ref'!M37</f>
        <v>476</v>
      </c>
    </row>
    <row r="38" spans="1:34" s="62" customFormat="1">
      <c r="A38" s="379" t="s">
        <v>289</v>
      </c>
      <c r="B38" s="380"/>
      <c r="C38" s="139">
        <f>'2. Overall cum progress Mar Ref'!C38</f>
        <v>1637</v>
      </c>
      <c r="D38" s="139">
        <f>'2. Overall cum progress Mar Ref'!D38</f>
        <v>3576</v>
      </c>
      <c r="E38" s="148">
        <f>'[17]2. Overall cum progress June 14'!E38</f>
        <v>1265</v>
      </c>
      <c r="F38" s="148">
        <f>'[19]2. Overall cum progress June 14'!F38</f>
        <v>634</v>
      </c>
      <c r="G38" s="149">
        <v>29228</v>
      </c>
      <c r="H38" s="139">
        <f>'[20]2. Overall com progres June-14'!H38</f>
        <v>6433</v>
      </c>
      <c r="I38" s="136">
        <v>16</v>
      </c>
      <c r="J38" s="148">
        <f>'[21]2. Overall cum progress June 14'!J38</f>
        <v>39606</v>
      </c>
      <c r="K38" s="148">
        <f>'[22]2. Overall cum progress June 14'!K38</f>
        <v>8350</v>
      </c>
      <c r="L38" s="148">
        <f>'[18]2. Overall cum progress June 14'!L38</f>
        <v>59794</v>
      </c>
      <c r="M38" s="139">
        <f t="shared" si="26"/>
        <v>150539</v>
      </c>
      <c r="N38" s="74"/>
      <c r="O38" s="61"/>
      <c r="X38" s="56">
        <f>C38-'2. Overall cum progress Mar Ref'!C38</f>
        <v>0</v>
      </c>
      <c r="Y38" s="56">
        <f>D38-'2. Overall cum progress Mar Ref'!D38</f>
        <v>0</v>
      </c>
      <c r="Z38" s="56">
        <f>E38-'2. Overall cum progress Mar Ref'!E38</f>
        <v>95</v>
      </c>
      <c r="AA38" s="56">
        <f>F38-'2. Overall cum progress Mar Ref'!F38</f>
        <v>27</v>
      </c>
      <c r="AB38" s="56">
        <f>G38-'2. Overall cum progress Mar Ref'!G38</f>
        <v>647</v>
      </c>
      <c r="AC38" s="56">
        <f>H38-'2. Overall cum progress Mar Ref'!H38</f>
        <v>0</v>
      </c>
      <c r="AD38" s="56">
        <f>I38-'2. Overall cum progress Mar Ref'!I38</f>
        <v>0</v>
      </c>
      <c r="AE38" s="56">
        <f>J38-'2. Overall cum progress Mar Ref'!J38</f>
        <v>0</v>
      </c>
      <c r="AF38" s="56">
        <f>K38-'2. Overall cum progress Mar Ref'!K38</f>
        <v>24</v>
      </c>
      <c r="AG38" s="56">
        <f>L38-'2. Overall cum progress Mar Ref'!L38</f>
        <v>479</v>
      </c>
      <c r="AH38" s="56">
        <f>M38-'2. Overall cum progress Mar Ref'!M38</f>
        <v>1272</v>
      </c>
    </row>
    <row r="39" spans="1:34" s="63" customFormat="1">
      <c r="A39" s="379" t="s">
        <v>22</v>
      </c>
      <c r="B39" s="380"/>
      <c r="C39" s="139">
        <f>'2. Overall cum progress Mar Ref'!C39</f>
        <v>100347</v>
      </c>
      <c r="D39" s="139">
        <f>'2. Overall cum progress Mar Ref'!D39</f>
        <v>284440</v>
      </c>
      <c r="E39" s="148">
        <f>'[17]2. Overall cum progress June 14'!E39</f>
        <v>109647</v>
      </c>
      <c r="F39" s="148">
        <f>'[19]2. Overall cum progress June 14'!F39</f>
        <v>22732</v>
      </c>
      <c r="G39" s="149">
        <v>1302312</v>
      </c>
      <c r="H39" s="139">
        <f>'[20]2. Overall com progres June-14'!H39</f>
        <v>674798</v>
      </c>
      <c r="I39" s="136">
        <v>0</v>
      </c>
      <c r="J39" s="148">
        <f>'[21]2. Overall cum progress June 14'!J39</f>
        <v>230592</v>
      </c>
      <c r="K39" s="148">
        <f>'[22]2. Overall cum progress June 14'!K39</f>
        <v>1676494</v>
      </c>
      <c r="L39" s="148">
        <f>'[18]2. Overall cum progress June 14'!L39</f>
        <v>411380</v>
      </c>
      <c r="M39" s="139">
        <f t="shared" si="26"/>
        <v>4812742</v>
      </c>
      <c r="N39" s="60">
        <f>M39/1000000</f>
        <v>4.8127420000000001</v>
      </c>
      <c r="O39" s="61">
        <f>476*15</f>
        <v>7140</v>
      </c>
      <c r="X39" s="56">
        <f>C39-'2. Overall cum progress Mar Ref'!C39</f>
        <v>0</v>
      </c>
      <c r="Y39" s="56">
        <f>D39-'2. Overall cum progress Mar Ref'!D39</f>
        <v>0</v>
      </c>
      <c r="Z39" s="56">
        <f>E39-'2. Overall cum progress Mar Ref'!E39</f>
        <v>0</v>
      </c>
      <c r="AA39" s="56">
        <f>F39-'2. Overall cum progress Mar Ref'!F39</f>
        <v>27</v>
      </c>
      <c r="AB39" s="56">
        <f>G39-'2. Overall cum progress Mar Ref'!G39</f>
        <v>7905</v>
      </c>
      <c r="AC39" s="56">
        <f>H39-'2. Overall cum progress Mar Ref'!H39</f>
        <v>0</v>
      </c>
      <c r="AD39" s="56">
        <f>I39-'2. Overall cum progress Mar Ref'!I39</f>
        <v>0</v>
      </c>
      <c r="AE39" s="56">
        <f>J39-'2. Overall cum progress Mar Ref'!J39</f>
        <v>0</v>
      </c>
      <c r="AF39" s="56">
        <f>K39-'2. Overall cum progress Mar Ref'!K39</f>
        <v>14426</v>
      </c>
      <c r="AG39" s="56">
        <f>L39-'2. Overall cum progress Mar Ref'!L39</f>
        <v>3200</v>
      </c>
      <c r="AH39" s="56">
        <f>M39-'2. Overall cum progress Mar Ref'!M39</f>
        <v>25558</v>
      </c>
    </row>
    <row r="40" spans="1:34" s="63" customFormat="1">
      <c r="A40" s="370" t="s">
        <v>237</v>
      </c>
      <c r="B40" s="371"/>
      <c r="C40" s="139">
        <f>'2. Overall cum progress Mar Ref'!C40</f>
        <v>100347</v>
      </c>
      <c r="D40" s="139">
        <f>'2. Overall cum progress Mar Ref'!D40</f>
        <v>284440</v>
      </c>
      <c r="E40" s="148">
        <f>'[17]2. Overall cum progress June 14'!E40</f>
        <v>86779</v>
      </c>
      <c r="F40" s="148">
        <f>'[19]2. Overall cum progress June 14'!F40</f>
        <v>22707</v>
      </c>
      <c r="G40" s="149">
        <v>1240572</v>
      </c>
      <c r="H40" s="139">
        <f>'[20]2. Overall com progres June-14'!H40</f>
        <v>674798</v>
      </c>
      <c r="I40" s="136">
        <v>0</v>
      </c>
      <c r="J40" s="148">
        <f>'[21]2. Overall cum progress June 14'!J40</f>
        <v>230592</v>
      </c>
      <c r="K40" s="148">
        <f>'[22]2. Overall cum progress June 14'!K40</f>
        <v>1609055</v>
      </c>
      <c r="L40" s="148">
        <f>'[18]2. Overall cum progress June 14'!L40</f>
        <v>391411</v>
      </c>
      <c r="M40" s="139">
        <f t="shared" si="26"/>
        <v>4640701</v>
      </c>
      <c r="N40" s="60"/>
      <c r="O40" s="61"/>
      <c r="X40" s="56">
        <f>C40-'2. Overall cum progress Mar Ref'!C40</f>
        <v>0</v>
      </c>
      <c r="Y40" s="56">
        <f>D40-'2. Overall cum progress Mar Ref'!D40</f>
        <v>0</v>
      </c>
      <c r="Z40" s="56">
        <f>E40-'2. Overall cum progress Mar Ref'!E40</f>
        <v>2921</v>
      </c>
      <c r="AA40" s="56">
        <f>F40-'2. Overall cum progress Mar Ref'!F40</f>
        <v>642</v>
      </c>
      <c r="AB40" s="56">
        <f>G40-'2. Overall cum progress Mar Ref'!G40</f>
        <v>33199</v>
      </c>
      <c r="AC40" s="56">
        <f>H40-'2. Overall cum progress Mar Ref'!H40</f>
        <v>0</v>
      </c>
      <c r="AD40" s="56">
        <f>I40-'2. Overall cum progress Mar Ref'!I40</f>
        <v>0</v>
      </c>
      <c r="AE40" s="56">
        <f>J40-'2. Overall cum progress Mar Ref'!J40</f>
        <v>0</v>
      </c>
      <c r="AF40" s="56">
        <f>K40-'2. Overall cum progress Mar Ref'!K40</f>
        <v>2000</v>
      </c>
      <c r="AG40" s="56">
        <f>L40-'2. Overall cum progress Mar Ref'!L40</f>
        <v>5336</v>
      </c>
      <c r="AH40" s="56">
        <f>M40-'2. Overall cum progress Mar Ref'!M40</f>
        <v>44098</v>
      </c>
    </row>
    <row r="41" spans="1:34" s="64" customFormat="1">
      <c r="A41" s="361" t="s">
        <v>290</v>
      </c>
      <c r="B41" s="362"/>
      <c r="C41" s="139">
        <f>'2. Overall cum progress Mar Ref'!C41</f>
        <v>635.803</v>
      </c>
      <c r="D41" s="139">
        <f>'2. Overall cum progress Mar Ref'!D41</f>
        <v>1825.46</v>
      </c>
      <c r="E41" s="148">
        <f>'[17]2. Overall cum progress June 14'!E41</f>
        <v>753</v>
      </c>
      <c r="F41" s="148">
        <f>'[19]2. Overall cum progress June 14'!F41</f>
        <v>265</v>
      </c>
      <c r="G41" s="149">
        <v>7559.2995309999997</v>
      </c>
      <c r="H41" s="139">
        <f>'[20]2. Overall com progres June-14'!H41</f>
        <v>1675.181</v>
      </c>
      <c r="I41" s="136">
        <v>0</v>
      </c>
      <c r="J41" s="148">
        <f>'[21]2. Overall cum progress June 14'!J41</f>
        <v>2596</v>
      </c>
      <c r="K41" s="148">
        <f>'[22]2. Overall cum progress June 14'!K41</f>
        <v>5011</v>
      </c>
      <c r="L41" s="148">
        <f>'[18]2. Overall cum progress June 14'!L41</f>
        <v>1011.245</v>
      </c>
      <c r="M41" s="139">
        <f t="shared" si="26"/>
        <v>21331.988530999999</v>
      </c>
      <c r="N41" s="74">
        <f>M41/90</f>
        <v>237.02209478888886</v>
      </c>
      <c r="O41" s="103">
        <f>M41/85</f>
        <v>250.96457095294116</v>
      </c>
      <c r="X41" s="56">
        <f>C41-'2. Overall cum progress Mar Ref'!C41</f>
        <v>0</v>
      </c>
      <c r="Y41" s="56">
        <f>D41-'2. Overall cum progress Mar Ref'!D41</f>
        <v>0</v>
      </c>
      <c r="Z41" s="56">
        <f>E41-'2. Overall cum progress Mar Ref'!E41</f>
        <v>-0.11000000000001364</v>
      </c>
      <c r="AA41" s="56">
        <f>F41-'2. Overall cum progress Mar Ref'!F41</f>
        <v>20</v>
      </c>
      <c r="AB41" s="56">
        <f>G41-'2. Overall cum progress Mar Ref'!G41</f>
        <v>131.50292599999921</v>
      </c>
      <c r="AC41" s="56">
        <f>H41-'2. Overall cum progress Mar Ref'!H41</f>
        <v>0</v>
      </c>
      <c r="AD41" s="56">
        <f>I41-'2. Overall cum progress Mar Ref'!I41</f>
        <v>0</v>
      </c>
      <c r="AE41" s="56">
        <f>J41-'2. Overall cum progress Mar Ref'!J41</f>
        <v>0</v>
      </c>
      <c r="AF41" s="56">
        <f>K41-'2. Overall cum progress Mar Ref'!K41</f>
        <v>30</v>
      </c>
      <c r="AG41" s="56">
        <f>L41-'2. Overall cum progress Mar Ref'!L41</f>
        <v>35.660000000000082</v>
      </c>
      <c r="AH41" s="56">
        <f>M41-'2. Overall cum progress Mar Ref'!M41</f>
        <v>217.0529260000003</v>
      </c>
    </row>
    <row r="42" spans="1:34" s="64" customFormat="1">
      <c r="A42" s="363" t="s">
        <v>291</v>
      </c>
      <c r="B42" s="364"/>
      <c r="C42" s="139">
        <f>'2. Overall cum progress Mar Ref'!C42</f>
        <v>635.803</v>
      </c>
      <c r="D42" s="139">
        <f>'2. Overall cum progress Mar Ref'!D42</f>
        <v>1825.46</v>
      </c>
      <c r="E42" s="148">
        <f>'[17]2. Overall cum progress June 14'!E42</f>
        <v>656</v>
      </c>
      <c r="F42" s="148">
        <f>'[19]2. Overall cum progress June 14'!F42</f>
        <v>245</v>
      </c>
      <c r="G42" s="149">
        <v>6691.9798369999999</v>
      </c>
      <c r="H42" s="139">
        <f>'[20]2. Overall com progres June-14'!H42</f>
        <v>1675.181</v>
      </c>
      <c r="I42" s="136">
        <v>20</v>
      </c>
      <c r="J42" s="148">
        <f>'[21]2. Overall cum progress June 14'!J42</f>
        <v>2596</v>
      </c>
      <c r="K42" s="148">
        <f>'[22]2. Overall cum progress June 14'!K42</f>
        <v>4720</v>
      </c>
      <c r="L42" s="148">
        <f>'[18]2. Overall cum progress June 14'!L42</f>
        <v>965.69399999999996</v>
      </c>
      <c r="M42" s="139">
        <f t="shared" si="26"/>
        <v>20031.117837000002</v>
      </c>
      <c r="N42" s="74"/>
      <c r="O42" s="103"/>
      <c r="X42" s="56">
        <f>C42-'2. Overall cum progress Mar Ref'!C42</f>
        <v>0</v>
      </c>
      <c r="Y42" s="56">
        <f>D42-'2. Overall cum progress Mar Ref'!D42</f>
        <v>0</v>
      </c>
      <c r="Z42" s="56">
        <f>E42-'2. Overall cum progress Mar Ref'!E42</f>
        <v>60.830000000000041</v>
      </c>
      <c r="AA42" s="56">
        <f>F42-'2. Overall cum progress Mar Ref'!F42</f>
        <v>25</v>
      </c>
      <c r="AB42" s="56">
        <f>G42-'2. Overall cum progress Mar Ref'!G42</f>
        <v>174.41576799999984</v>
      </c>
      <c r="AC42" s="56">
        <f>H42-'2. Overall cum progress Mar Ref'!H42</f>
        <v>0</v>
      </c>
      <c r="AD42" s="56">
        <f>I42-'2. Overall cum progress Mar Ref'!I42</f>
        <v>0</v>
      </c>
      <c r="AE42" s="56">
        <f>J42-'2. Overall cum progress Mar Ref'!J42</f>
        <v>0</v>
      </c>
      <c r="AF42" s="56">
        <f>K42-'2. Overall cum progress Mar Ref'!K42</f>
        <v>510</v>
      </c>
      <c r="AG42" s="56">
        <f>L42-'2. Overall cum progress Mar Ref'!L42</f>
        <v>46.129999999999995</v>
      </c>
      <c r="AH42" s="56">
        <f>M42-'2. Overall cum progress Mar Ref'!M42</f>
        <v>816.3757680000017</v>
      </c>
    </row>
    <row r="43" spans="1:34" s="65" customFormat="1">
      <c r="A43" s="365" t="s">
        <v>23</v>
      </c>
      <c r="B43" s="366" t="s">
        <v>24</v>
      </c>
      <c r="C43" s="139">
        <f>'2. Overall cum progress Mar Ref'!C43</f>
        <v>355</v>
      </c>
      <c r="D43" s="139">
        <f>'2. Overall cum progress Mar Ref'!D43</f>
        <v>867</v>
      </c>
      <c r="E43" s="148">
        <f>'[17]2. Overall cum progress June 14'!E43</f>
        <v>141</v>
      </c>
      <c r="F43" s="148">
        <f>'[19]2. Overall cum progress June 14'!F43</f>
        <v>3</v>
      </c>
      <c r="G43" s="149">
        <v>545</v>
      </c>
      <c r="H43" s="139">
        <f>'[20]2. Overall com progres June-14'!H43</f>
        <v>186</v>
      </c>
      <c r="I43" s="136">
        <v>25</v>
      </c>
      <c r="J43" s="148">
        <f>'[21]2. Overall cum progress June 14'!J43</f>
        <v>3</v>
      </c>
      <c r="K43" s="148">
        <f>'[22]2. Overall cum progress June 14'!K43</f>
        <v>89</v>
      </c>
      <c r="L43" s="148">
        <f>'[18]2. Overall cum progress June 14'!L43</f>
        <v>113</v>
      </c>
      <c r="M43" s="139">
        <f t="shared" si="26"/>
        <v>2327</v>
      </c>
      <c r="N43" s="74"/>
      <c r="O43" s="61"/>
      <c r="X43" s="56">
        <f>C43-'2. Overall cum progress Mar Ref'!C43</f>
        <v>0</v>
      </c>
      <c r="Y43" s="56">
        <f>D43-'2. Overall cum progress Mar Ref'!D43</f>
        <v>0</v>
      </c>
      <c r="Z43" s="56">
        <f>E43-'2. Overall cum progress Mar Ref'!E43</f>
        <v>0</v>
      </c>
      <c r="AA43" s="56">
        <f>F43-'2. Overall cum progress Mar Ref'!F43</f>
        <v>0</v>
      </c>
      <c r="AB43" s="56">
        <f>G43-'2. Overall cum progress Mar Ref'!G43</f>
        <v>0</v>
      </c>
      <c r="AC43" s="56">
        <f>H43-'2. Overall cum progress Mar Ref'!H43</f>
        <v>-5</v>
      </c>
      <c r="AD43" s="56">
        <f>I43-'2. Overall cum progress Mar Ref'!I43</f>
        <v>0</v>
      </c>
      <c r="AE43" s="56">
        <f>J43-'2. Overall cum progress Mar Ref'!J43</f>
        <v>1</v>
      </c>
      <c r="AF43" s="56">
        <f>K43-'2. Overall cum progress Mar Ref'!K43</f>
        <v>0</v>
      </c>
      <c r="AG43" s="56">
        <f>L43-'2. Overall cum progress Mar Ref'!L43</f>
        <v>0</v>
      </c>
      <c r="AH43" s="56">
        <f>M43-'2. Overall cum progress Mar Ref'!M43</f>
        <v>-4</v>
      </c>
    </row>
    <row r="44" spans="1:34" s="56" customFormat="1">
      <c r="A44" s="367" t="s">
        <v>25</v>
      </c>
      <c r="B44" s="57" t="s">
        <v>24</v>
      </c>
      <c r="C44" s="139">
        <f>'2. Overall cum progress Mar Ref'!C44</f>
        <v>11370</v>
      </c>
      <c r="D44" s="139">
        <f>'2. Overall cum progress Mar Ref'!D44</f>
        <v>2900</v>
      </c>
      <c r="E44" s="148">
        <f>'[17]2. Overall cum progress June 14'!E44</f>
        <v>4453</v>
      </c>
      <c r="F44" s="148">
        <f>'[19]2. Overall cum progress June 14'!F44</f>
        <v>780</v>
      </c>
      <c r="G44" s="149">
        <v>9852</v>
      </c>
      <c r="H44" s="139">
        <f>'[20]2. Overall com progres June-14'!H44</f>
        <v>4661</v>
      </c>
      <c r="I44" s="136">
        <v>3526</v>
      </c>
      <c r="J44" s="148">
        <f>'[21]2. Overall cum progress June 14'!J44</f>
        <v>288</v>
      </c>
      <c r="K44" s="148">
        <f>'[22]2. Overall cum progress June 14'!K44</f>
        <v>2182</v>
      </c>
      <c r="L44" s="148">
        <f>'[18]2. Overall cum progress June 14'!L44</f>
        <v>1947</v>
      </c>
      <c r="M44" s="139">
        <f t="shared" si="26"/>
        <v>41959</v>
      </c>
      <c r="N44" s="74"/>
      <c r="O44" s="61"/>
      <c r="X44" s="56">
        <f>C44-'2. Overall cum progress Mar Ref'!C44</f>
        <v>0</v>
      </c>
      <c r="Y44" s="56">
        <f>D44-'2. Overall cum progress Mar Ref'!D44</f>
        <v>0</v>
      </c>
      <c r="Z44" s="56">
        <f>E44-'2. Overall cum progress Mar Ref'!E44</f>
        <v>0</v>
      </c>
      <c r="AA44" s="56">
        <f>F44-'2. Overall cum progress Mar Ref'!F44</f>
        <v>0</v>
      </c>
      <c r="AB44" s="56">
        <f>G44-'2. Overall cum progress Mar Ref'!G44</f>
        <v>0</v>
      </c>
      <c r="AC44" s="56">
        <f>H44-'2. Overall cum progress Mar Ref'!H44</f>
        <v>-1407</v>
      </c>
      <c r="AD44" s="56">
        <f>I44-'2. Overall cum progress Mar Ref'!I44</f>
        <v>0</v>
      </c>
      <c r="AE44" s="56">
        <f>J44-'2. Overall cum progress Mar Ref'!J44</f>
        <v>263</v>
      </c>
      <c r="AF44" s="56">
        <f>K44-'2. Overall cum progress Mar Ref'!K44</f>
        <v>57</v>
      </c>
      <c r="AG44" s="56">
        <f>L44-'2. Overall cum progress Mar Ref'!L44</f>
        <v>0</v>
      </c>
      <c r="AH44" s="56">
        <f>M44-'2. Overall cum progress Mar Ref'!M44</f>
        <v>-1087</v>
      </c>
    </row>
    <row r="45" spans="1:34" s="56" customFormat="1">
      <c r="A45" s="367"/>
      <c r="B45" s="58" t="s">
        <v>26</v>
      </c>
      <c r="C45" s="139">
        <f>'2. Overall cum progress Mar Ref'!C45</f>
        <v>9922</v>
      </c>
      <c r="D45" s="139">
        <f>'2. Overall cum progress Mar Ref'!D45</f>
        <v>7375</v>
      </c>
      <c r="E45" s="148">
        <f>'[17]2. Overall cum progress June 14'!E45</f>
        <v>5543</v>
      </c>
      <c r="F45" s="148">
        <f>'[19]2. Overall cum progress June 14'!F45</f>
        <v>608</v>
      </c>
      <c r="G45" s="149">
        <v>10537</v>
      </c>
      <c r="H45" s="139">
        <f>'[20]2. Overall com progres June-14'!H45</f>
        <v>5838</v>
      </c>
      <c r="I45" s="136">
        <v>5110</v>
      </c>
      <c r="J45" s="148">
        <f>'[21]2. Overall cum progress June 14'!J45</f>
        <v>605</v>
      </c>
      <c r="K45" s="148">
        <f>'[22]2. Overall cum progress June 14'!K45</f>
        <v>3046</v>
      </c>
      <c r="L45" s="148">
        <f>'[18]2. Overall cum progress June 14'!L45</f>
        <v>707</v>
      </c>
      <c r="M45" s="139">
        <f t="shared" si="26"/>
        <v>49291</v>
      </c>
      <c r="N45" s="74"/>
      <c r="O45" s="61"/>
      <c r="X45" s="56">
        <f>C45-'2. Overall cum progress Mar Ref'!C45</f>
        <v>0</v>
      </c>
      <c r="Y45" s="56">
        <f>D45-'2. Overall cum progress Mar Ref'!D45</f>
        <v>0</v>
      </c>
      <c r="Z45" s="56">
        <f>E45-'2. Overall cum progress Mar Ref'!E45</f>
        <v>0</v>
      </c>
      <c r="AA45" s="56">
        <f>F45-'2. Overall cum progress Mar Ref'!F45</f>
        <v>0</v>
      </c>
      <c r="AB45" s="56">
        <f>G45-'2. Overall cum progress Mar Ref'!G45</f>
        <v>0</v>
      </c>
      <c r="AC45" s="56">
        <f>H45-'2. Overall cum progress Mar Ref'!H45</f>
        <v>984</v>
      </c>
      <c r="AD45" s="56">
        <f>I45-'2. Overall cum progress Mar Ref'!I45</f>
        <v>0</v>
      </c>
      <c r="AE45" s="56">
        <f>J45-'2. Overall cum progress Mar Ref'!J45</f>
        <v>550</v>
      </c>
      <c r="AF45" s="56">
        <f>K45-'2. Overall cum progress Mar Ref'!K45</f>
        <v>0</v>
      </c>
      <c r="AG45" s="56">
        <f>L45-'2. Overall cum progress Mar Ref'!L45</f>
        <v>0</v>
      </c>
      <c r="AH45" s="56">
        <f>M45-'2. Overall cum progress Mar Ref'!M45</f>
        <v>1534</v>
      </c>
    </row>
    <row r="46" spans="1:34" s="56" customFormat="1">
      <c r="A46" s="367"/>
      <c r="B46" s="59" t="s">
        <v>16</v>
      </c>
      <c r="C46" s="140">
        <f>SUM(C44:C45)</f>
        <v>21292</v>
      </c>
      <c r="D46" s="140">
        <f t="shared" ref="D46:M46" si="27">SUM(D44:D45)</f>
        <v>10275</v>
      </c>
      <c r="E46" s="140">
        <f t="shared" si="27"/>
        <v>9996</v>
      </c>
      <c r="F46" s="140">
        <f t="shared" ref="F46:G46" si="28">SUM(F44:F45)</f>
        <v>1388</v>
      </c>
      <c r="G46" s="140">
        <f t="shared" si="28"/>
        <v>20389</v>
      </c>
      <c r="H46" s="140">
        <f>SUM(H44:H45)</f>
        <v>10499</v>
      </c>
      <c r="I46" s="140">
        <f t="shared" si="27"/>
        <v>8636</v>
      </c>
      <c r="J46" s="140">
        <f t="shared" si="27"/>
        <v>893</v>
      </c>
      <c r="K46" s="140">
        <f t="shared" si="27"/>
        <v>5228</v>
      </c>
      <c r="L46" s="140">
        <f t="shared" ref="L46" si="29">SUM(L44:L45)</f>
        <v>2654</v>
      </c>
      <c r="M46" s="140">
        <f t="shared" si="27"/>
        <v>91250</v>
      </c>
      <c r="N46" s="75">
        <f>M44/M46%</f>
        <v>45.982465753424655</v>
      </c>
      <c r="O46" s="61"/>
      <c r="X46" s="56">
        <f>C46-'2. Overall cum progress Mar Ref'!C46</f>
        <v>0</v>
      </c>
      <c r="Y46" s="56">
        <f>D46-'2. Overall cum progress Mar Ref'!D46</f>
        <v>0</v>
      </c>
      <c r="Z46" s="56">
        <f>E46-'2. Overall cum progress Mar Ref'!E46</f>
        <v>0</v>
      </c>
      <c r="AA46" s="56">
        <f>F46-'2. Overall cum progress Mar Ref'!F46</f>
        <v>0</v>
      </c>
      <c r="AB46" s="56">
        <f>G46-'2. Overall cum progress Mar Ref'!G46</f>
        <v>0</v>
      </c>
      <c r="AC46" s="56">
        <f>H46-'2. Overall cum progress Mar Ref'!H46</f>
        <v>-423</v>
      </c>
      <c r="AD46" s="56">
        <f>I46-'2. Overall cum progress Mar Ref'!I46</f>
        <v>0</v>
      </c>
      <c r="AE46" s="56">
        <f>J46-'2. Overall cum progress Mar Ref'!J46</f>
        <v>813</v>
      </c>
      <c r="AF46" s="56">
        <f>K46-'2. Overall cum progress Mar Ref'!K46</f>
        <v>57</v>
      </c>
      <c r="AG46" s="56">
        <f>L46-'2. Overall cum progress Mar Ref'!L46</f>
        <v>0</v>
      </c>
      <c r="AH46" s="56">
        <f>M46-'2. Overall cum progress Mar Ref'!M46</f>
        <v>447</v>
      </c>
    </row>
    <row r="47" spans="1:34" s="56" customFormat="1">
      <c r="A47" s="368" t="s">
        <v>292</v>
      </c>
      <c r="B47" s="57" t="s">
        <v>17</v>
      </c>
      <c r="C47" s="139">
        <f>'2. Overall cum progress Mar Ref'!C47</f>
        <v>0</v>
      </c>
      <c r="D47" s="139">
        <f>'2. Overall cum progress Mar Ref'!D47</f>
        <v>0</v>
      </c>
      <c r="E47" s="148">
        <f>'[17]2. Overall cum progress June 14'!E47</f>
        <v>0</v>
      </c>
      <c r="F47" s="148">
        <f>'[19]2. Overall cum progress June 14'!F47</f>
        <v>0</v>
      </c>
      <c r="G47" s="149">
        <v>22888</v>
      </c>
      <c r="H47" s="139">
        <f>'[20]2. Overall com progres June-14'!H47</f>
        <v>0</v>
      </c>
      <c r="I47" s="136"/>
      <c r="J47" s="148">
        <f>'[21]2. Overall cum progress June 14'!J47</f>
        <v>0</v>
      </c>
      <c r="K47" s="148">
        <f>'[22]2. Overall cum progress June 14'!K47</f>
        <v>3989</v>
      </c>
      <c r="L47" s="148">
        <f>'[18]2. Overall cum progress June 14'!L47</f>
        <v>0</v>
      </c>
      <c r="M47" s="139">
        <f>SUM(C47:L47)</f>
        <v>26877</v>
      </c>
      <c r="N47" s="74"/>
      <c r="O47" s="61"/>
      <c r="X47" s="56">
        <f>C47-'2. Overall cum progress Mar Ref'!C47</f>
        <v>0</v>
      </c>
      <c r="Y47" s="56">
        <f>D47-'2. Overall cum progress Mar Ref'!D47</f>
        <v>0</v>
      </c>
      <c r="Z47" s="56">
        <f>E47-'2. Overall cum progress Mar Ref'!E47</f>
        <v>0</v>
      </c>
      <c r="AA47" s="56">
        <f>F47-'2. Overall cum progress Mar Ref'!F47</f>
        <v>0</v>
      </c>
      <c r="AB47" s="56">
        <f>G47-'2. Overall cum progress Mar Ref'!G47</f>
        <v>0</v>
      </c>
      <c r="AC47" s="56">
        <f>H47-'2. Overall cum progress Mar Ref'!H47</f>
        <v>0</v>
      </c>
      <c r="AD47" s="56">
        <f>I47-'2. Overall cum progress Mar Ref'!I47</f>
        <v>0</v>
      </c>
      <c r="AE47" s="56">
        <f>J47-'2. Overall cum progress Mar Ref'!J47</f>
        <v>0</v>
      </c>
      <c r="AF47" s="56">
        <f>K47-'2. Overall cum progress Mar Ref'!K47</f>
        <v>643</v>
      </c>
      <c r="AG47" s="56">
        <f>L47-'2. Overall cum progress Mar Ref'!L47</f>
        <v>0</v>
      </c>
      <c r="AH47" s="56">
        <f>M47-'2. Overall cum progress Mar Ref'!M47</f>
        <v>643</v>
      </c>
    </row>
    <row r="48" spans="1:34" s="56" customFormat="1">
      <c r="A48" s="368"/>
      <c r="B48" s="58" t="s">
        <v>18</v>
      </c>
      <c r="C48" s="139">
        <f>'2. Overall cum progress Mar Ref'!C48</f>
        <v>0</v>
      </c>
      <c r="D48" s="139">
        <f>'2. Overall cum progress Mar Ref'!D48</f>
        <v>0</v>
      </c>
      <c r="E48" s="148">
        <f>'[17]2. Overall cum progress June 14'!E48</f>
        <v>0</v>
      </c>
      <c r="F48" s="148">
        <f>'[19]2. Overall cum progress June 14'!F48</f>
        <v>0</v>
      </c>
      <c r="G48" s="149">
        <v>2494</v>
      </c>
      <c r="H48" s="139">
        <f>'[20]2. Overall com progres June-14'!H48</f>
        <v>0</v>
      </c>
      <c r="I48" s="136"/>
      <c r="J48" s="148">
        <f>'[21]2. Overall cum progress June 14'!J48</f>
        <v>0</v>
      </c>
      <c r="K48" s="148">
        <f>'[22]2. Overall cum progress June 14'!K48</f>
        <v>722</v>
      </c>
      <c r="L48" s="148">
        <f>'[18]2. Overall cum progress June 14'!L48</f>
        <v>0</v>
      </c>
      <c r="M48" s="139">
        <f>SUM(C48:L48)</f>
        <v>3216</v>
      </c>
      <c r="N48" s="74"/>
      <c r="O48" s="61"/>
      <c r="X48" s="56">
        <f>C48-'2. Overall cum progress Mar Ref'!C48</f>
        <v>0</v>
      </c>
      <c r="Y48" s="56">
        <f>D48-'2. Overall cum progress Mar Ref'!D48</f>
        <v>0</v>
      </c>
      <c r="Z48" s="56">
        <f>E48-'2. Overall cum progress Mar Ref'!E48</f>
        <v>0</v>
      </c>
      <c r="AA48" s="56">
        <f>F48-'2. Overall cum progress Mar Ref'!F48</f>
        <v>0</v>
      </c>
      <c r="AB48" s="56">
        <f>G48-'2. Overall cum progress Mar Ref'!G48</f>
        <v>0</v>
      </c>
      <c r="AC48" s="56">
        <f>H48-'2. Overall cum progress Mar Ref'!H48</f>
        <v>0</v>
      </c>
      <c r="AD48" s="56">
        <f>I48-'2. Overall cum progress Mar Ref'!I48</f>
        <v>0</v>
      </c>
      <c r="AE48" s="56">
        <f>J48-'2. Overall cum progress Mar Ref'!J48</f>
        <v>0</v>
      </c>
      <c r="AF48" s="56">
        <f>K48-'2. Overall cum progress Mar Ref'!K48</f>
        <v>0</v>
      </c>
      <c r="AG48" s="56">
        <f>L48-'2. Overall cum progress Mar Ref'!L48</f>
        <v>0</v>
      </c>
      <c r="AH48" s="56">
        <f>M48-'2. Overall cum progress Mar Ref'!M48</f>
        <v>0</v>
      </c>
    </row>
    <row r="49" spans="1:34" s="56" customFormat="1">
      <c r="A49" s="368"/>
      <c r="B49" s="59" t="s">
        <v>16</v>
      </c>
      <c r="C49" s="140">
        <f>SUM(C47:C48)</f>
        <v>0</v>
      </c>
      <c r="D49" s="140">
        <f t="shared" ref="D49:M49" si="30">SUM(D47:D48)</f>
        <v>0</v>
      </c>
      <c r="E49" s="200">
        <v>0</v>
      </c>
      <c r="F49" s="140">
        <f t="shared" ref="F49:G49" si="31">SUM(F47:F48)</f>
        <v>0</v>
      </c>
      <c r="G49" s="140">
        <f t="shared" si="31"/>
        <v>25382</v>
      </c>
      <c r="H49" s="140">
        <f>SUM(H47:H48)</f>
        <v>0</v>
      </c>
      <c r="I49" s="140">
        <f t="shared" si="30"/>
        <v>0</v>
      </c>
      <c r="J49" s="140">
        <f t="shared" si="30"/>
        <v>0</v>
      </c>
      <c r="K49" s="140">
        <f t="shared" si="30"/>
        <v>4711</v>
      </c>
      <c r="L49" s="140">
        <f t="shared" ref="L49" si="32">SUM(L47:L48)</f>
        <v>0</v>
      </c>
      <c r="M49" s="140">
        <f t="shared" si="30"/>
        <v>30093</v>
      </c>
      <c r="N49" s="74"/>
      <c r="O49" s="61"/>
      <c r="X49" s="56">
        <f>C49-'2. Overall cum progress Mar Ref'!C49</f>
        <v>0</v>
      </c>
      <c r="Y49" s="56">
        <f>D49-'2. Overall cum progress Mar Ref'!D49</f>
        <v>0</v>
      </c>
      <c r="Z49" s="56">
        <f>E49-'2. Overall cum progress Mar Ref'!E49</f>
        <v>0</v>
      </c>
      <c r="AA49" s="56">
        <f>F49-'2. Overall cum progress Mar Ref'!F49</f>
        <v>0</v>
      </c>
      <c r="AB49" s="56">
        <f>G49-'2. Overall cum progress Mar Ref'!G49</f>
        <v>0</v>
      </c>
      <c r="AC49" s="56">
        <f>H49-'2. Overall cum progress Mar Ref'!H49</f>
        <v>0</v>
      </c>
      <c r="AD49" s="56">
        <f>I49-'2. Overall cum progress Mar Ref'!I49</f>
        <v>0</v>
      </c>
      <c r="AE49" s="56">
        <f>J49-'2. Overall cum progress Mar Ref'!J49</f>
        <v>0</v>
      </c>
      <c r="AF49" s="56">
        <f>K49-'2. Overall cum progress Mar Ref'!K49</f>
        <v>643</v>
      </c>
      <c r="AG49" s="56">
        <f>L49-'2. Overall cum progress Mar Ref'!L49</f>
        <v>0</v>
      </c>
      <c r="AH49" s="56">
        <f>M49-'2. Overall cum progress Mar Ref'!M49</f>
        <v>643</v>
      </c>
    </row>
    <row r="50" spans="1:34" s="56" customFormat="1">
      <c r="A50" s="367" t="s">
        <v>293</v>
      </c>
      <c r="B50" s="57" t="s">
        <v>17</v>
      </c>
      <c r="C50" s="139">
        <f>'2. Overall cum progress Mar Ref'!C50</f>
        <v>31</v>
      </c>
      <c r="D50" s="139">
        <f>'2. Overall cum progress Mar Ref'!D50</f>
        <v>1243</v>
      </c>
      <c r="E50" s="148">
        <f>'[17]2. Overall cum progress June 14'!E50</f>
        <v>1688</v>
      </c>
      <c r="F50" s="148">
        <f>'[19]2. Overall cum progress June 14'!F50</f>
        <v>95</v>
      </c>
      <c r="G50" s="149">
        <v>3153</v>
      </c>
      <c r="H50" s="139">
        <f>'[20]2. Overall com progres June-14'!H50</f>
        <v>8442</v>
      </c>
      <c r="I50" s="136">
        <v>410</v>
      </c>
      <c r="J50" s="148">
        <f>'[21]2. Overall cum progress June 14'!J50</f>
        <v>4777</v>
      </c>
      <c r="K50" s="148">
        <f>'[22]2. Overall cum progress June 14'!K50</f>
        <v>1066</v>
      </c>
      <c r="L50" s="148">
        <f>'[18]2. Overall cum progress June 14'!L50</f>
        <v>867</v>
      </c>
      <c r="M50" s="139">
        <f>SUM(C50:L50)</f>
        <v>21772</v>
      </c>
      <c r="N50" s="74"/>
      <c r="O50" s="61"/>
      <c r="X50" s="56">
        <f>C50-'2. Overall cum progress Mar Ref'!C50</f>
        <v>0</v>
      </c>
      <c r="Y50" s="56">
        <f>D50-'2. Overall cum progress Mar Ref'!D50</f>
        <v>0</v>
      </c>
      <c r="Z50" s="56">
        <f>E50-'2. Overall cum progress Mar Ref'!E50</f>
        <v>0</v>
      </c>
      <c r="AA50" s="56">
        <f>F50-'2. Overall cum progress Mar Ref'!F50</f>
        <v>0</v>
      </c>
      <c r="AB50" s="56">
        <f>G50-'2. Overall cum progress Mar Ref'!G50</f>
        <v>0</v>
      </c>
      <c r="AC50" s="56">
        <f>H50-'2. Overall cum progress Mar Ref'!H50</f>
        <v>0</v>
      </c>
      <c r="AD50" s="56">
        <f>I50-'2. Overall cum progress Mar Ref'!I50</f>
        <v>0</v>
      </c>
      <c r="AE50" s="56">
        <f>J50-'2. Overall cum progress Mar Ref'!J50</f>
        <v>0</v>
      </c>
      <c r="AF50" s="56">
        <f>K50-'2. Overall cum progress Mar Ref'!K50</f>
        <v>0</v>
      </c>
      <c r="AG50" s="56">
        <f>L50-'2. Overall cum progress Mar Ref'!L50</f>
        <v>0</v>
      </c>
      <c r="AH50" s="56">
        <f>M50-'2. Overall cum progress Mar Ref'!M50</f>
        <v>0</v>
      </c>
    </row>
    <row r="51" spans="1:34" s="56" customFormat="1">
      <c r="A51" s="367"/>
      <c r="B51" s="58" t="s">
        <v>18</v>
      </c>
      <c r="C51" s="139">
        <f>'2. Overall cum progress Mar Ref'!C51</f>
        <v>0</v>
      </c>
      <c r="D51" s="139">
        <f>'2. Overall cum progress Mar Ref'!D51</f>
        <v>0</v>
      </c>
      <c r="E51" s="148">
        <f>'[17]2. Overall cum progress June 14'!E51</f>
        <v>0</v>
      </c>
      <c r="F51" s="148">
        <f>'[19]2. Overall cum progress June 14'!F51</f>
        <v>0</v>
      </c>
      <c r="G51" s="149">
        <v>0</v>
      </c>
      <c r="H51" s="139">
        <f>'[20]2. Overall com progres June-14'!H51</f>
        <v>1770</v>
      </c>
      <c r="I51" s="136"/>
      <c r="J51" s="148">
        <f>'[21]2. Overall cum progress June 14'!J51</f>
        <v>0</v>
      </c>
      <c r="K51" s="148">
        <f>'[22]2. Overall cum progress June 14'!K51</f>
        <v>467</v>
      </c>
      <c r="L51" s="148">
        <f>'[18]2. Overall cum progress June 14'!L51</f>
        <v>675</v>
      </c>
      <c r="M51" s="139">
        <f>SUM(C51:L51)</f>
        <v>2912</v>
      </c>
      <c r="N51" s="74"/>
      <c r="O51" s="61"/>
      <c r="X51" s="56">
        <f>C51-'2. Overall cum progress Mar Ref'!C51</f>
        <v>0</v>
      </c>
      <c r="Y51" s="56">
        <f>D51-'2. Overall cum progress Mar Ref'!D51</f>
        <v>0</v>
      </c>
      <c r="Z51" s="56">
        <f>E51-'2. Overall cum progress Mar Ref'!E51</f>
        <v>0</v>
      </c>
      <c r="AA51" s="56">
        <f>F51-'2. Overall cum progress Mar Ref'!F51</f>
        <v>0</v>
      </c>
      <c r="AB51" s="56">
        <f>G51-'2. Overall cum progress Mar Ref'!G51</f>
        <v>0</v>
      </c>
      <c r="AC51" s="56">
        <f>H51-'2. Overall cum progress Mar Ref'!H51</f>
        <v>0</v>
      </c>
      <c r="AD51" s="56">
        <f>I51-'2. Overall cum progress Mar Ref'!I51</f>
        <v>0</v>
      </c>
      <c r="AE51" s="56">
        <f>J51-'2. Overall cum progress Mar Ref'!J51</f>
        <v>0</v>
      </c>
      <c r="AF51" s="56">
        <f>K51-'2. Overall cum progress Mar Ref'!K51</f>
        <v>0</v>
      </c>
      <c r="AG51" s="56">
        <f>L51-'2. Overall cum progress Mar Ref'!L51</f>
        <v>0</v>
      </c>
      <c r="AH51" s="56">
        <f>M51-'2. Overall cum progress Mar Ref'!M51</f>
        <v>0</v>
      </c>
    </row>
    <row r="52" spans="1:34" s="56" customFormat="1" ht="13.5" thickBot="1">
      <c r="A52" s="409"/>
      <c r="B52" s="66" t="s">
        <v>16</v>
      </c>
      <c r="C52" s="140">
        <f t="shared" ref="C52:M52" si="33">SUM(C50:C51)</f>
        <v>31</v>
      </c>
      <c r="D52" s="140">
        <f t="shared" si="33"/>
        <v>1243</v>
      </c>
      <c r="E52" s="140">
        <f t="shared" si="33"/>
        <v>1688</v>
      </c>
      <c r="F52" s="140">
        <f t="shared" ref="F52:G52" si="34">SUM(F50:F51)</f>
        <v>95</v>
      </c>
      <c r="G52" s="140">
        <f t="shared" si="34"/>
        <v>3153</v>
      </c>
      <c r="H52" s="140">
        <f>SUM(H50:H51)</f>
        <v>10212</v>
      </c>
      <c r="I52" s="140">
        <f t="shared" si="33"/>
        <v>410</v>
      </c>
      <c r="J52" s="140">
        <f t="shared" si="33"/>
        <v>4777</v>
      </c>
      <c r="K52" s="140">
        <f t="shared" si="33"/>
        <v>1533</v>
      </c>
      <c r="L52" s="140">
        <f t="shared" ref="L52" si="35">SUM(L50:L51)</f>
        <v>1542</v>
      </c>
      <c r="M52" s="140">
        <f t="shared" si="33"/>
        <v>24684</v>
      </c>
      <c r="N52" s="74"/>
      <c r="O52" s="61"/>
      <c r="X52" s="56">
        <f>C52-'2. Overall cum progress Mar Ref'!C52</f>
        <v>0</v>
      </c>
      <c r="Y52" s="56">
        <f>D52-'2. Overall cum progress Mar Ref'!D52</f>
        <v>0</v>
      </c>
      <c r="Z52" s="56">
        <f>E52-'2. Overall cum progress Mar Ref'!E52</f>
        <v>0</v>
      </c>
      <c r="AA52" s="56">
        <f>F52-'2. Overall cum progress Mar Ref'!F52</f>
        <v>0</v>
      </c>
      <c r="AB52" s="56">
        <f>G52-'2. Overall cum progress Mar Ref'!G52</f>
        <v>0</v>
      </c>
      <c r="AC52" s="56">
        <f>H52-'2. Overall cum progress Mar Ref'!H52</f>
        <v>0</v>
      </c>
      <c r="AD52" s="56">
        <f>I52-'2. Overall cum progress Mar Ref'!I52</f>
        <v>0</v>
      </c>
      <c r="AE52" s="56">
        <f>J52-'2. Overall cum progress Mar Ref'!J52</f>
        <v>0</v>
      </c>
      <c r="AF52" s="56">
        <f>K52-'2. Overall cum progress Mar Ref'!K52</f>
        <v>0</v>
      </c>
      <c r="AG52" s="56">
        <f>L52-'2. Overall cum progress Mar Ref'!L52</f>
        <v>0</v>
      </c>
      <c r="AH52" s="56">
        <f>M52-'2. Overall cum progress Mar Ref'!M52</f>
        <v>0</v>
      </c>
    </row>
    <row r="53" spans="1:34">
      <c r="A53" s="67" t="s">
        <v>315</v>
      </c>
      <c r="E53" s="148"/>
      <c r="G53" s="115"/>
      <c r="H53" s="104"/>
      <c r="I53" s="136"/>
      <c r="K53" s="139"/>
      <c r="L53" s="117"/>
    </row>
    <row r="54" spans="1:34">
      <c r="A54" s="67" t="s">
        <v>320</v>
      </c>
      <c r="E54" s="87"/>
      <c r="G54" s="67"/>
      <c r="H54" s="104"/>
    </row>
    <row r="55" spans="1:34">
      <c r="A55" s="198" t="s">
        <v>270</v>
      </c>
      <c r="E55" s="87"/>
    </row>
    <row r="56" spans="1:34">
      <c r="E56" s="87"/>
    </row>
    <row r="57" spans="1:34">
      <c r="E57" s="139"/>
    </row>
  </sheetData>
  <sheetProtection password="C746"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RowHeight="12.75"/>
  <cols>
    <col min="1" max="1" width="30" style="67" customWidth="1"/>
    <col min="2" max="2" width="21.7109375" style="67" customWidth="1"/>
    <col min="3" max="3" width="9.7109375" style="67" bestFit="1" customWidth="1"/>
    <col min="4" max="4" width="10.7109375" style="53" bestFit="1" customWidth="1"/>
    <col min="5" max="5" width="10.7109375" style="142" bestFit="1" customWidth="1"/>
    <col min="6" max="6" width="12.7109375" style="53" customWidth="1"/>
    <col min="7" max="7" width="12.140625" style="53" bestFit="1" customWidth="1"/>
    <col min="8" max="8" width="14.7109375" style="53" customWidth="1"/>
    <col min="9" max="9" width="9.7109375" style="53" bestFit="1" customWidth="1"/>
    <col min="10" max="10" width="10.7109375" style="53" customWidth="1"/>
    <col min="11" max="11" width="12.140625" style="53" bestFit="1" customWidth="1"/>
    <col min="12" max="12" width="10.7109375" style="53" bestFit="1" customWidth="1"/>
    <col min="13" max="13" width="12.140625" style="53" bestFit="1" customWidth="1"/>
    <col min="14" max="14" width="10" style="53" bestFit="1" customWidth="1"/>
    <col min="15" max="15" width="13.140625" style="53" bestFit="1" customWidth="1"/>
    <col min="16" max="16" width="12.42578125" style="53" bestFit="1" customWidth="1"/>
    <col min="17" max="16384" width="9.140625" style="53"/>
  </cols>
  <sheetData>
    <row r="1" spans="1:20" ht="13.5" thickBot="1">
      <c r="A1" s="207" t="s">
        <v>310</v>
      </c>
      <c r="B1" s="208"/>
      <c r="C1" s="208"/>
      <c r="D1" s="209"/>
      <c r="E1" s="210"/>
      <c r="F1" s="209"/>
      <c r="G1" s="211"/>
      <c r="H1" s="211"/>
      <c r="I1" s="209"/>
      <c r="J1" s="209"/>
      <c r="K1" s="209"/>
      <c r="L1" s="209"/>
      <c r="M1" s="208"/>
    </row>
    <row r="2" spans="1:20" s="69" customFormat="1">
      <c r="A2" s="425" t="s">
        <v>0</v>
      </c>
      <c r="B2" s="426"/>
      <c r="C2" s="212" t="s">
        <v>271</v>
      </c>
      <c r="D2" s="212" t="s">
        <v>2</v>
      </c>
      <c r="E2" s="212" t="s">
        <v>3</v>
      </c>
      <c r="F2" s="212" t="s">
        <v>4</v>
      </c>
      <c r="G2" s="213" t="s">
        <v>5</v>
      </c>
      <c r="H2" s="212" t="s">
        <v>6</v>
      </c>
      <c r="I2" s="212" t="s">
        <v>7</v>
      </c>
      <c r="J2" s="212" t="s">
        <v>8</v>
      </c>
      <c r="K2" s="212" t="s">
        <v>9</v>
      </c>
      <c r="L2" s="212" t="s">
        <v>10</v>
      </c>
      <c r="M2" s="214" t="s">
        <v>16</v>
      </c>
    </row>
    <row r="3" spans="1:20" ht="13.5" customHeight="1">
      <c r="A3" s="215"/>
      <c r="B3" s="216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20" s="56" customFormat="1">
      <c r="A4" s="427" t="s">
        <v>220</v>
      </c>
      <c r="B4" s="427"/>
      <c r="C4" s="218">
        <v>8</v>
      </c>
      <c r="D4" s="218">
        <v>7</v>
      </c>
      <c r="E4" s="218">
        <v>14</v>
      </c>
      <c r="F4" s="218">
        <v>3</v>
      </c>
      <c r="G4" s="218">
        <v>55</v>
      </c>
      <c r="H4" s="218">
        <v>21</v>
      </c>
      <c r="I4" s="218">
        <v>1</v>
      </c>
      <c r="J4" s="218">
        <v>9</v>
      </c>
      <c r="K4" s="218">
        <v>25</v>
      </c>
      <c r="L4" s="218">
        <v>4</v>
      </c>
      <c r="M4" s="218">
        <v>120</v>
      </c>
      <c r="N4" s="74"/>
      <c r="O4" s="61"/>
    </row>
    <row r="5" spans="1:20" s="56" customFormat="1">
      <c r="A5" s="428" t="s">
        <v>11</v>
      </c>
      <c r="B5" s="427"/>
      <c r="C5" s="218">
        <v>136</v>
      </c>
      <c r="D5" s="219">
        <v>118</v>
      </c>
      <c r="E5" s="219">
        <v>204</v>
      </c>
      <c r="F5" s="219">
        <v>22</v>
      </c>
      <c r="G5" s="219">
        <v>2038</v>
      </c>
      <c r="H5" s="219">
        <v>714</v>
      </c>
      <c r="I5" s="219">
        <v>13</v>
      </c>
      <c r="J5" s="219">
        <v>338</v>
      </c>
      <c r="K5" s="219">
        <v>583</v>
      </c>
      <c r="L5" s="219">
        <v>113</v>
      </c>
      <c r="M5" s="218">
        <v>3616</v>
      </c>
      <c r="N5" s="74">
        <f>M5-'1.RSP Districts '!E232</f>
        <v>-32</v>
      </c>
      <c r="O5" s="61"/>
    </row>
    <row r="6" spans="1:20" s="56" customFormat="1">
      <c r="A6" s="428" t="s">
        <v>286</v>
      </c>
      <c r="B6" s="427"/>
      <c r="C6" s="218">
        <v>102320</v>
      </c>
      <c r="D6" s="218">
        <v>110695</v>
      </c>
      <c r="E6" s="218">
        <v>192619</v>
      </c>
      <c r="F6" s="218">
        <v>34714</v>
      </c>
      <c r="G6" s="218">
        <v>2394947</v>
      </c>
      <c r="H6" s="218">
        <v>1229002</v>
      </c>
      <c r="I6" s="218">
        <v>16500</v>
      </c>
      <c r="J6" s="218">
        <v>591729</v>
      </c>
      <c r="K6" s="218">
        <v>742056</v>
      </c>
      <c r="L6" s="218">
        <v>269984</v>
      </c>
      <c r="M6" s="218">
        <v>5684566</v>
      </c>
      <c r="N6" s="75">
        <f>M6/1000000</f>
        <v>5.6845660000000002</v>
      </c>
      <c r="O6" s="60">
        <f>N6*6.5</f>
        <v>36.949679000000003</v>
      </c>
      <c r="P6" s="56">
        <f>200+90+160+54</f>
        <v>504</v>
      </c>
    </row>
    <row r="7" spans="1:20" s="56" customFormat="1">
      <c r="A7" s="428" t="s">
        <v>12</v>
      </c>
      <c r="B7" s="427"/>
      <c r="C7" s="220">
        <v>33</v>
      </c>
      <c r="D7" s="220">
        <v>59</v>
      </c>
      <c r="E7" s="220">
        <v>46</v>
      </c>
      <c r="F7" s="220">
        <v>8</v>
      </c>
      <c r="G7" s="220">
        <v>528</v>
      </c>
      <c r="H7" s="218">
        <v>34</v>
      </c>
      <c r="I7" s="221">
        <v>1</v>
      </c>
      <c r="J7" s="220">
        <v>125</v>
      </c>
      <c r="K7" s="220">
        <v>101</v>
      </c>
      <c r="L7" s="220">
        <v>39</v>
      </c>
      <c r="M7" s="218">
        <v>974</v>
      </c>
      <c r="N7" s="74"/>
      <c r="O7" s="61"/>
      <c r="P7" s="56">
        <f>266298-265794</f>
        <v>504</v>
      </c>
    </row>
    <row r="8" spans="1:20" s="56" customFormat="1">
      <c r="A8" s="410" t="s">
        <v>287</v>
      </c>
      <c r="B8" s="222" t="s">
        <v>13</v>
      </c>
      <c r="C8" s="218">
        <v>1577</v>
      </c>
      <c r="D8" s="218">
        <v>2171</v>
      </c>
      <c r="E8" s="223">
        <v>3535</v>
      </c>
      <c r="F8" s="223">
        <v>1709</v>
      </c>
      <c r="G8" s="223">
        <v>74111</v>
      </c>
      <c r="H8" s="224">
        <v>30428</v>
      </c>
      <c r="I8" s="225">
        <v>410</v>
      </c>
      <c r="J8" s="223">
        <v>32866</v>
      </c>
      <c r="K8" s="223">
        <v>9848</v>
      </c>
      <c r="L8" s="223">
        <v>8639</v>
      </c>
      <c r="M8" s="218">
        <v>165294</v>
      </c>
      <c r="N8" s="75">
        <f>M8/M11%</f>
        <v>48.450012310794811</v>
      </c>
      <c r="O8" s="61"/>
      <c r="P8" s="56" t="s">
        <v>242</v>
      </c>
    </row>
    <row r="9" spans="1:20" s="56" customFormat="1">
      <c r="A9" s="410"/>
      <c r="B9" s="226" t="s">
        <v>14</v>
      </c>
      <c r="C9" s="218">
        <v>2138</v>
      </c>
      <c r="D9" s="218">
        <v>2893</v>
      </c>
      <c r="E9" s="223">
        <v>8141</v>
      </c>
      <c r="F9" s="223">
        <v>1420</v>
      </c>
      <c r="G9" s="223">
        <v>74080</v>
      </c>
      <c r="H9" s="224">
        <v>42843</v>
      </c>
      <c r="I9" s="225">
        <v>450</v>
      </c>
      <c r="J9" s="223">
        <v>4159</v>
      </c>
      <c r="K9" s="223">
        <v>20618</v>
      </c>
      <c r="L9" s="223">
        <v>5833</v>
      </c>
      <c r="M9" s="218">
        <v>162575</v>
      </c>
      <c r="N9" s="74"/>
      <c r="O9" s="61"/>
      <c r="P9" s="56">
        <v>19</v>
      </c>
      <c r="Q9" s="56">
        <f>P9*18</f>
        <v>342</v>
      </c>
    </row>
    <row r="10" spans="1:20" s="56" customFormat="1">
      <c r="A10" s="410"/>
      <c r="B10" s="226" t="s">
        <v>15</v>
      </c>
      <c r="C10" s="218">
        <v>1035</v>
      </c>
      <c r="D10" s="218">
        <v>0</v>
      </c>
      <c r="E10" s="223">
        <v>54</v>
      </c>
      <c r="F10" s="223">
        <v>0</v>
      </c>
      <c r="G10" s="223">
        <v>10093</v>
      </c>
      <c r="H10" s="224">
        <v>0</v>
      </c>
      <c r="I10" s="225"/>
      <c r="J10" s="223">
        <v>40</v>
      </c>
      <c r="K10" s="223">
        <v>102</v>
      </c>
      <c r="L10" s="223">
        <v>1971</v>
      </c>
      <c r="M10" s="218">
        <v>13295</v>
      </c>
      <c r="N10" s="74" t="e">
        <f>(M11-N11)/N11%</f>
        <v>#DIV/0!</v>
      </c>
      <c r="O10" s="61"/>
      <c r="P10" s="56">
        <v>6</v>
      </c>
      <c r="Q10" s="56">
        <v>120</v>
      </c>
    </row>
    <row r="11" spans="1:20" s="56" customFormat="1">
      <c r="A11" s="410"/>
      <c r="B11" s="227" t="s">
        <v>16</v>
      </c>
      <c r="C11" s="228">
        <v>4750</v>
      </c>
      <c r="D11" s="228">
        <v>5064</v>
      </c>
      <c r="E11" s="229">
        <v>11730</v>
      </c>
      <c r="F11" s="228">
        <v>3129</v>
      </c>
      <c r="G11" s="228">
        <v>158284</v>
      </c>
      <c r="H11" s="228">
        <v>73271</v>
      </c>
      <c r="I11" s="228">
        <v>860</v>
      </c>
      <c r="J11" s="228">
        <v>37065</v>
      </c>
      <c r="K11" s="230">
        <v>30568</v>
      </c>
      <c r="L11" s="230">
        <v>16443</v>
      </c>
      <c r="M11" s="228">
        <v>341164</v>
      </c>
      <c r="N11" s="74"/>
      <c r="O11" s="61">
        <f>L11-16178</f>
        <v>265</v>
      </c>
      <c r="P11" s="56">
        <v>2</v>
      </c>
      <c r="Q11" s="56">
        <v>40</v>
      </c>
    </row>
    <row r="12" spans="1:20" s="56" customFormat="1">
      <c r="A12" s="429" t="s">
        <v>302</v>
      </c>
      <c r="B12" s="222" t="s">
        <v>17</v>
      </c>
      <c r="C12" s="218">
        <v>44063</v>
      </c>
      <c r="D12" s="218">
        <v>84455</v>
      </c>
      <c r="E12" s="223">
        <v>58796</v>
      </c>
      <c r="F12" s="223">
        <v>28469</v>
      </c>
      <c r="G12" s="223">
        <v>1311756</v>
      </c>
      <c r="H12" s="224">
        <v>501743</v>
      </c>
      <c r="I12" s="225">
        <v>10845</v>
      </c>
      <c r="J12" s="223">
        <v>553067</v>
      </c>
      <c r="K12" s="223">
        <v>236403</v>
      </c>
      <c r="L12" s="223">
        <v>178474</v>
      </c>
      <c r="M12" s="218">
        <v>3008071</v>
      </c>
      <c r="N12" s="102">
        <f>M12/M14%</f>
        <v>51.282649722879057</v>
      </c>
      <c r="O12" s="61"/>
      <c r="Q12" s="56">
        <f>SUM(Q9:Q11)</f>
        <v>502</v>
      </c>
    </row>
    <row r="13" spans="1:20" s="56" customFormat="1">
      <c r="A13" s="429"/>
      <c r="B13" s="226" t="s">
        <v>18</v>
      </c>
      <c r="C13" s="218">
        <v>58257</v>
      </c>
      <c r="D13" s="218">
        <v>121509</v>
      </c>
      <c r="E13" s="223">
        <v>133778</v>
      </c>
      <c r="F13" s="223">
        <v>26262</v>
      </c>
      <c r="G13" s="223">
        <v>1082991</v>
      </c>
      <c r="H13" s="224">
        <v>737477</v>
      </c>
      <c r="I13" s="225">
        <v>11348</v>
      </c>
      <c r="J13" s="223">
        <v>38662</v>
      </c>
      <c r="K13" s="223">
        <v>505653</v>
      </c>
      <c r="L13" s="223">
        <v>141662</v>
      </c>
      <c r="M13" s="218">
        <v>2857599</v>
      </c>
      <c r="N13" s="74"/>
      <c r="O13" s="61"/>
    </row>
    <row r="14" spans="1:20" s="56" customFormat="1">
      <c r="A14" s="429"/>
      <c r="B14" s="231" t="s">
        <v>16</v>
      </c>
      <c r="C14" s="228">
        <v>102320</v>
      </c>
      <c r="D14" s="228">
        <v>205964</v>
      </c>
      <c r="E14" s="228">
        <v>192574</v>
      </c>
      <c r="F14" s="228">
        <v>54731</v>
      </c>
      <c r="G14" s="228">
        <v>2394747</v>
      </c>
      <c r="H14" s="228">
        <v>1239220</v>
      </c>
      <c r="I14" s="228">
        <v>22193</v>
      </c>
      <c r="J14" s="228">
        <v>591729</v>
      </c>
      <c r="K14" s="230">
        <v>742056</v>
      </c>
      <c r="L14" s="228">
        <v>320136</v>
      </c>
      <c r="M14" s="228">
        <v>5865670</v>
      </c>
      <c r="N14" s="75">
        <f>M14/1000000</f>
        <v>5.8656699999999997</v>
      </c>
      <c r="O14" s="61">
        <f>L14-314221</f>
        <v>5915</v>
      </c>
      <c r="T14" s="56">
        <f>E12/E8</f>
        <v>16.632531824611032</v>
      </c>
    </row>
    <row r="15" spans="1:20" s="60" customFormat="1">
      <c r="A15" s="430" t="s">
        <v>223</v>
      </c>
      <c r="B15" s="232" t="s">
        <v>17</v>
      </c>
      <c r="C15" s="218">
        <v>24.064</v>
      </c>
      <c r="D15" s="218">
        <v>129.43899999999999</v>
      </c>
      <c r="E15" s="223">
        <v>5.45</v>
      </c>
      <c r="F15" s="223">
        <v>4.3</v>
      </c>
      <c r="G15" s="223">
        <v>234.75</v>
      </c>
      <c r="H15" s="224">
        <v>71.710999999999999</v>
      </c>
      <c r="I15" s="225">
        <v>0</v>
      </c>
      <c r="J15" s="223">
        <v>110</v>
      </c>
      <c r="K15" s="223">
        <v>38.497070069149999</v>
      </c>
      <c r="L15" s="223">
        <v>82.540209999999988</v>
      </c>
      <c r="M15" s="218">
        <v>700.75128006914997</v>
      </c>
      <c r="N15" s="74"/>
      <c r="O15" s="61"/>
      <c r="P15" s="60">
        <v>742335</v>
      </c>
      <c r="T15" s="60">
        <f>E13/E9</f>
        <v>16.432624984645621</v>
      </c>
    </row>
    <row r="16" spans="1:20" s="60" customFormat="1">
      <c r="A16" s="430"/>
      <c r="B16" s="233" t="s">
        <v>18</v>
      </c>
      <c r="C16" s="218">
        <v>11.851000000000001</v>
      </c>
      <c r="D16" s="218">
        <v>371.08199999999999</v>
      </c>
      <c r="E16" s="223">
        <v>8.7799999999999994</v>
      </c>
      <c r="F16" s="223">
        <v>5.0999999999999996</v>
      </c>
      <c r="G16" s="223">
        <v>1136.32</v>
      </c>
      <c r="H16" s="224">
        <v>72.14</v>
      </c>
      <c r="I16" s="225">
        <v>1</v>
      </c>
      <c r="J16" s="223">
        <v>7</v>
      </c>
      <c r="K16" s="223">
        <v>100.78366029753501</v>
      </c>
      <c r="L16" s="223">
        <v>120.445775</v>
      </c>
      <c r="M16" s="218">
        <v>1834.5024352975349</v>
      </c>
      <c r="N16" s="74"/>
      <c r="O16" s="61"/>
      <c r="P16" s="60">
        <f>P15/1000000</f>
        <v>0.74233499999999997</v>
      </c>
    </row>
    <row r="17" spans="1:16" s="60" customFormat="1">
      <c r="A17" s="430"/>
      <c r="B17" s="231" t="s">
        <v>16</v>
      </c>
      <c r="C17" s="228">
        <v>35.914999999999999</v>
      </c>
      <c r="D17" s="228">
        <v>500.52099999999996</v>
      </c>
      <c r="E17" s="229">
        <v>14.23</v>
      </c>
      <c r="F17" s="228">
        <v>9.3999999999999986</v>
      </c>
      <c r="G17" s="228">
        <v>1371.07</v>
      </c>
      <c r="H17" s="228">
        <v>143.851</v>
      </c>
      <c r="I17" s="228">
        <v>1</v>
      </c>
      <c r="J17" s="228">
        <v>117</v>
      </c>
      <c r="K17" s="234">
        <v>139.28073036668502</v>
      </c>
      <c r="L17" s="234">
        <v>202.98598499999997</v>
      </c>
      <c r="M17" s="228">
        <v>2535.2537153666849</v>
      </c>
      <c r="N17" s="74"/>
      <c r="O17" s="61"/>
    </row>
    <row r="18" spans="1:16" s="56" customFormat="1">
      <c r="A18" s="410" t="s">
        <v>19</v>
      </c>
      <c r="B18" s="222" t="s">
        <v>17</v>
      </c>
      <c r="C18" s="218">
        <v>10954</v>
      </c>
      <c r="D18" s="218">
        <v>58754</v>
      </c>
      <c r="E18" s="223">
        <v>50627</v>
      </c>
      <c r="F18" s="223">
        <v>12468</v>
      </c>
      <c r="G18" s="223">
        <v>1320923</v>
      </c>
      <c r="H18" s="224">
        <v>146334</v>
      </c>
      <c r="I18" s="225">
        <v>4830</v>
      </c>
      <c r="J18" s="223">
        <v>227505</v>
      </c>
      <c r="K18" s="223">
        <v>61576</v>
      </c>
      <c r="L18" s="223">
        <v>98524</v>
      </c>
      <c r="M18" s="218">
        <v>1992495</v>
      </c>
      <c r="N18" s="60">
        <f>M18/1000000</f>
        <v>1.9924949999999999</v>
      </c>
      <c r="O18" s="60">
        <f>M18/M20%</f>
        <v>52.465862214425684</v>
      </c>
    </row>
    <row r="19" spans="1:16" s="56" customFormat="1">
      <c r="A19" s="410"/>
      <c r="B19" s="226" t="s">
        <v>18</v>
      </c>
      <c r="C19" s="218">
        <v>6385</v>
      </c>
      <c r="D19" s="218">
        <v>27804</v>
      </c>
      <c r="E19" s="223">
        <v>116446</v>
      </c>
      <c r="F19" s="223">
        <v>4435</v>
      </c>
      <c r="G19" s="223">
        <v>1114142</v>
      </c>
      <c r="H19" s="220">
        <v>329777</v>
      </c>
      <c r="I19" s="225">
        <v>4825</v>
      </c>
      <c r="J19" s="223">
        <v>13129</v>
      </c>
      <c r="K19" s="223">
        <v>95408</v>
      </c>
      <c r="L19" s="223">
        <v>92852</v>
      </c>
      <c r="M19" s="218">
        <v>1805203</v>
      </c>
      <c r="N19" s="74"/>
      <c r="O19" s="61"/>
    </row>
    <row r="20" spans="1:16" s="56" customFormat="1">
      <c r="A20" s="410"/>
      <c r="B20" s="227" t="s">
        <v>16</v>
      </c>
      <c r="C20" s="228">
        <v>17339</v>
      </c>
      <c r="D20" s="228">
        <v>86558</v>
      </c>
      <c r="E20" s="229">
        <v>167073</v>
      </c>
      <c r="F20" s="228">
        <v>16903</v>
      </c>
      <c r="G20" s="228">
        <v>2435065</v>
      </c>
      <c r="H20" s="228">
        <v>476111</v>
      </c>
      <c r="I20" s="228">
        <v>9655</v>
      </c>
      <c r="J20" s="228">
        <v>240634</v>
      </c>
      <c r="K20" s="228">
        <v>156984</v>
      </c>
      <c r="L20" s="228">
        <v>191376</v>
      </c>
      <c r="M20" s="228">
        <v>3797698</v>
      </c>
      <c r="N20" s="60">
        <f>M20/1000000</f>
        <v>3.797698</v>
      </c>
      <c r="O20" s="61"/>
    </row>
    <row r="21" spans="1:16" s="56" customFormat="1">
      <c r="A21" s="431" t="s">
        <v>205</v>
      </c>
      <c r="B21" s="226" t="s">
        <v>295</v>
      </c>
      <c r="C21" s="218">
        <v>6</v>
      </c>
      <c r="D21" s="218">
        <v>12</v>
      </c>
      <c r="E21" s="223">
        <v>2</v>
      </c>
      <c r="F21" s="220">
        <v>1</v>
      </c>
      <c r="G21" s="223">
        <v>211</v>
      </c>
      <c r="H21" s="224">
        <v>2</v>
      </c>
      <c r="I21" s="225">
        <v>0</v>
      </c>
      <c r="J21" s="223">
        <v>31</v>
      </c>
      <c r="K21" s="220">
        <v>0</v>
      </c>
      <c r="L21" s="223">
        <v>8</v>
      </c>
      <c r="M21" s="218">
        <v>273</v>
      </c>
      <c r="N21" s="74"/>
      <c r="O21" s="61"/>
    </row>
    <row r="22" spans="1:16" s="56" customFormat="1">
      <c r="A22" s="432"/>
      <c r="B22" s="226" t="s">
        <v>296</v>
      </c>
      <c r="C22" s="218">
        <v>0</v>
      </c>
      <c r="D22" s="218">
        <v>0</v>
      </c>
      <c r="E22" s="223">
        <v>0</v>
      </c>
      <c r="F22" s="223">
        <v>10</v>
      </c>
      <c r="G22" s="223">
        <v>74</v>
      </c>
      <c r="H22" s="224">
        <v>33</v>
      </c>
      <c r="I22" s="225">
        <v>0</v>
      </c>
      <c r="J22" s="223">
        <v>3608</v>
      </c>
      <c r="K22" s="223">
        <v>326</v>
      </c>
      <c r="L22" s="223">
        <v>1307</v>
      </c>
      <c r="M22" s="218">
        <v>5358</v>
      </c>
      <c r="N22" s="74"/>
      <c r="O22" s="61"/>
    </row>
    <row r="23" spans="1:16" s="56" customFormat="1">
      <c r="A23" s="432"/>
      <c r="B23" s="226" t="s">
        <v>297</v>
      </c>
      <c r="C23" s="218">
        <v>1094</v>
      </c>
      <c r="D23" s="218">
        <v>2055</v>
      </c>
      <c r="E23" s="223">
        <v>20</v>
      </c>
      <c r="F23" s="223">
        <v>42</v>
      </c>
      <c r="G23" s="223">
        <v>30193</v>
      </c>
      <c r="H23" s="224">
        <v>2929</v>
      </c>
      <c r="I23" s="225">
        <v>0</v>
      </c>
      <c r="J23" s="223">
        <v>96764</v>
      </c>
      <c r="K23" s="223">
        <v>34859</v>
      </c>
      <c r="L23" s="223">
        <v>17101</v>
      </c>
      <c r="M23" s="218">
        <v>185057</v>
      </c>
      <c r="N23" s="74"/>
      <c r="O23" s="61"/>
    </row>
    <row r="24" spans="1:16" s="56" customFormat="1" ht="25.5">
      <c r="A24" s="433"/>
      <c r="B24" s="226" t="s">
        <v>206</v>
      </c>
      <c r="C24" s="218">
        <v>16</v>
      </c>
      <c r="D24" s="218">
        <v>16.106083000000002</v>
      </c>
      <c r="E24" s="223">
        <v>1</v>
      </c>
      <c r="F24" s="223">
        <v>0.6</v>
      </c>
      <c r="G24" s="223">
        <v>381.4</v>
      </c>
      <c r="H24" s="224">
        <v>34.74</v>
      </c>
      <c r="I24" s="225">
        <v>0</v>
      </c>
      <c r="J24" s="223">
        <v>977</v>
      </c>
      <c r="K24" s="223">
        <v>379.10849999999999</v>
      </c>
      <c r="L24" s="223">
        <v>228.29499999999999</v>
      </c>
      <c r="M24" s="235">
        <v>2034.249583</v>
      </c>
      <c r="N24" s="75">
        <f>M24/90</f>
        <v>22.602773144444445</v>
      </c>
      <c r="O24" s="103">
        <f>M24/85</f>
        <v>23.932348035294119</v>
      </c>
    </row>
    <row r="25" spans="1:16" s="60" customFormat="1">
      <c r="A25" s="412" t="s">
        <v>20</v>
      </c>
      <c r="B25" s="232" t="s">
        <v>17</v>
      </c>
      <c r="C25" s="218">
        <v>79.263000000000005</v>
      </c>
      <c r="D25" s="218">
        <v>195</v>
      </c>
      <c r="E25" s="223">
        <v>9</v>
      </c>
      <c r="F25" s="223">
        <v>404</v>
      </c>
      <c r="G25" s="223">
        <v>35209.361709999997</v>
      </c>
      <c r="H25" s="224">
        <v>4636.5300000000007</v>
      </c>
      <c r="I25" s="225">
        <v>0</v>
      </c>
      <c r="J25" s="223">
        <v>4287</v>
      </c>
      <c r="K25" s="223">
        <v>366.774</v>
      </c>
      <c r="L25" s="223">
        <v>3432.0570000000002</v>
      </c>
      <c r="M25" s="218">
        <v>48618.985709999994</v>
      </c>
      <c r="N25" s="102">
        <f>M25/1000</f>
        <v>48.618985709999997</v>
      </c>
      <c r="O25" s="103">
        <f>M25/85</f>
        <v>571.98806717647051</v>
      </c>
    </row>
    <row r="26" spans="1:16" s="60" customFormat="1">
      <c r="A26" s="412"/>
      <c r="B26" s="233" t="s">
        <v>18</v>
      </c>
      <c r="C26" s="218">
        <v>58.572000000000003</v>
      </c>
      <c r="D26" s="218">
        <v>833</v>
      </c>
      <c r="E26" s="223">
        <v>16</v>
      </c>
      <c r="F26" s="223">
        <v>87</v>
      </c>
      <c r="G26" s="223">
        <v>45161.134202000001</v>
      </c>
      <c r="H26" s="224">
        <v>6449.51</v>
      </c>
      <c r="I26" s="225">
        <v>0</v>
      </c>
      <c r="J26" s="223">
        <v>646</v>
      </c>
      <c r="K26" s="223">
        <v>279.91399999999999</v>
      </c>
      <c r="L26" s="223">
        <v>3276.393</v>
      </c>
      <c r="M26" s="218">
        <v>56807.523201999997</v>
      </c>
      <c r="N26" s="74"/>
      <c r="O26" s="103"/>
    </row>
    <row r="27" spans="1:16" s="60" customFormat="1">
      <c r="A27" s="412"/>
      <c r="B27" s="236" t="s">
        <v>16</v>
      </c>
      <c r="C27" s="228">
        <v>137.83500000000001</v>
      </c>
      <c r="D27" s="228">
        <v>1028</v>
      </c>
      <c r="E27" s="237">
        <v>25</v>
      </c>
      <c r="F27" s="228">
        <v>491</v>
      </c>
      <c r="G27" s="228">
        <v>80370.495911999998</v>
      </c>
      <c r="H27" s="228">
        <v>11086.04</v>
      </c>
      <c r="I27" s="228">
        <v>0</v>
      </c>
      <c r="J27" s="228">
        <v>4933</v>
      </c>
      <c r="K27" s="228">
        <v>646.68799999999999</v>
      </c>
      <c r="L27" s="228">
        <v>6708.4500000000007</v>
      </c>
      <c r="M27" s="228">
        <v>105426.50891199999</v>
      </c>
      <c r="N27" s="102">
        <f>M27/1000</f>
        <v>105.42650891199999</v>
      </c>
      <c r="O27" s="103">
        <f>M27/85</f>
        <v>1240.3118695529411</v>
      </c>
    </row>
    <row r="28" spans="1:16" s="56" customFormat="1">
      <c r="A28" s="410" t="s">
        <v>21</v>
      </c>
      <c r="B28" s="222" t="s">
        <v>17</v>
      </c>
      <c r="C28" s="218">
        <v>4764</v>
      </c>
      <c r="D28" s="218">
        <v>74813</v>
      </c>
      <c r="E28" s="223">
        <v>1156</v>
      </c>
      <c r="F28" s="223">
        <v>26389</v>
      </c>
      <c r="G28" s="223">
        <v>2254245</v>
      </c>
      <c r="H28" s="224">
        <v>324012</v>
      </c>
      <c r="I28" s="225">
        <v>0</v>
      </c>
      <c r="J28" s="223">
        <v>262804</v>
      </c>
      <c r="K28" s="223">
        <v>31754</v>
      </c>
      <c r="L28" s="223">
        <v>255092</v>
      </c>
      <c r="M28" s="218">
        <v>3235029</v>
      </c>
      <c r="N28" s="102">
        <f>M28/1000000</f>
        <v>3.2350289999999999</v>
      </c>
      <c r="O28" s="61"/>
      <c r="P28" s="56">
        <f>M28/M30%</f>
        <v>45.511898757684023</v>
      </c>
    </row>
    <row r="29" spans="1:16" s="56" customFormat="1">
      <c r="A29" s="410"/>
      <c r="B29" s="226" t="s">
        <v>18</v>
      </c>
      <c r="C29" s="218">
        <v>3217</v>
      </c>
      <c r="D29" s="218">
        <v>546311</v>
      </c>
      <c r="E29" s="223">
        <v>1600</v>
      </c>
      <c r="F29" s="223">
        <v>5990</v>
      </c>
      <c r="G29" s="223">
        <v>2605160</v>
      </c>
      <c r="H29" s="224">
        <v>448702</v>
      </c>
      <c r="I29" s="225">
        <v>0</v>
      </c>
      <c r="J29" s="223">
        <v>44260</v>
      </c>
      <c r="K29" s="223">
        <v>25551</v>
      </c>
      <c r="L29" s="223">
        <v>192275</v>
      </c>
      <c r="M29" s="218">
        <v>3873066</v>
      </c>
      <c r="N29" s="102"/>
      <c r="O29" s="61"/>
    </row>
    <row r="30" spans="1:16" s="56" customFormat="1">
      <c r="A30" s="410"/>
      <c r="B30" s="227" t="s">
        <v>16</v>
      </c>
      <c r="C30" s="228">
        <v>7981</v>
      </c>
      <c r="D30" s="228">
        <v>621124</v>
      </c>
      <c r="E30" s="237">
        <v>2756</v>
      </c>
      <c r="F30" s="228">
        <v>32379</v>
      </c>
      <c r="G30" s="228">
        <v>4859405</v>
      </c>
      <c r="H30" s="228">
        <v>772714</v>
      </c>
      <c r="I30" s="228">
        <v>0</v>
      </c>
      <c r="J30" s="228">
        <v>307064</v>
      </c>
      <c r="K30" s="228">
        <v>57305</v>
      </c>
      <c r="L30" s="228">
        <v>447367</v>
      </c>
      <c r="M30" s="228">
        <v>7108095</v>
      </c>
      <c r="N30" s="102">
        <f>M30/1000000</f>
        <v>7.1080949999999996</v>
      </c>
      <c r="O30" s="61"/>
    </row>
    <row r="31" spans="1:16" s="61" customFormat="1">
      <c r="A31" s="412" t="s">
        <v>207</v>
      </c>
      <c r="B31" s="222" t="s">
        <v>17</v>
      </c>
      <c r="C31" s="218">
        <v>0</v>
      </c>
      <c r="D31" s="218">
        <v>74813</v>
      </c>
      <c r="E31" s="223">
        <v>0</v>
      </c>
      <c r="F31" s="223">
        <v>23053</v>
      </c>
      <c r="G31" s="223">
        <v>830712</v>
      </c>
      <c r="H31" s="224">
        <v>0</v>
      </c>
      <c r="I31" s="225">
        <v>0</v>
      </c>
      <c r="J31" s="223">
        <v>225094</v>
      </c>
      <c r="K31" s="223">
        <v>5834</v>
      </c>
      <c r="L31" s="223">
        <v>86533</v>
      </c>
      <c r="M31" s="218">
        <v>1246039</v>
      </c>
      <c r="N31" s="61">
        <f>M31/M33%</f>
        <v>31.603072757329986</v>
      </c>
    </row>
    <row r="32" spans="1:16" s="61" customFormat="1">
      <c r="A32" s="412"/>
      <c r="B32" s="226" t="s">
        <v>18</v>
      </c>
      <c r="C32" s="218">
        <v>0</v>
      </c>
      <c r="D32" s="218">
        <v>546311</v>
      </c>
      <c r="E32" s="223">
        <v>0</v>
      </c>
      <c r="F32" s="223">
        <v>7212</v>
      </c>
      <c r="G32" s="223">
        <v>2008234</v>
      </c>
      <c r="H32" s="224">
        <v>0</v>
      </c>
      <c r="I32" s="225">
        <v>0</v>
      </c>
      <c r="J32" s="223">
        <v>40601</v>
      </c>
      <c r="K32" s="223">
        <v>21566</v>
      </c>
      <c r="L32" s="223">
        <v>72815</v>
      </c>
      <c r="M32" s="218">
        <v>2696739</v>
      </c>
    </row>
    <row r="33" spans="1:15" s="61" customFormat="1">
      <c r="A33" s="412"/>
      <c r="B33" s="227" t="s">
        <v>16</v>
      </c>
      <c r="C33" s="228">
        <v>0</v>
      </c>
      <c r="D33" s="228">
        <v>621124</v>
      </c>
      <c r="E33" s="237">
        <v>0</v>
      </c>
      <c r="F33" s="228">
        <v>30265</v>
      </c>
      <c r="G33" s="228">
        <v>2838946</v>
      </c>
      <c r="H33" s="228">
        <v>0</v>
      </c>
      <c r="I33" s="228">
        <v>0</v>
      </c>
      <c r="J33" s="228">
        <v>265695</v>
      </c>
      <c r="K33" s="228">
        <v>27400</v>
      </c>
      <c r="L33" s="228">
        <v>159348</v>
      </c>
      <c r="M33" s="228">
        <v>3942778</v>
      </c>
      <c r="N33" s="60">
        <f>M33/1000000</f>
        <v>3.9427780000000001</v>
      </c>
    </row>
    <row r="34" spans="1:15" s="56" customFormat="1" ht="13.15" customHeight="1">
      <c r="A34" s="413" t="s">
        <v>239</v>
      </c>
      <c r="B34" s="226" t="s">
        <v>17</v>
      </c>
      <c r="C34" s="218">
        <v>0</v>
      </c>
      <c r="D34" s="218">
        <v>74813</v>
      </c>
      <c r="E34" s="223">
        <v>0</v>
      </c>
      <c r="F34" s="223">
        <v>23053</v>
      </c>
      <c r="G34" s="223">
        <v>1718947</v>
      </c>
      <c r="H34" s="224">
        <v>0</v>
      </c>
      <c r="I34" s="225">
        <v>0</v>
      </c>
      <c r="J34" s="223">
        <v>360015</v>
      </c>
      <c r="K34" s="223">
        <v>35004</v>
      </c>
      <c r="L34" s="223">
        <v>88190</v>
      </c>
      <c r="M34" s="218">
        <v>2300022</v>
      </c>
      <c r="N34" s="60">
        <f>M34/1000000</f>
        <v>2.3000219999999998</v>
      </c>
      <c r="O34" s="61"/>
    </row>
    <row r="35" spans="1:15" s="56" customFormat="1">
      <c r="A35" s="413"/>
      <c r="B35" s="226" t="s">
        <v>18</v>
      </c>
      <c r="C35" s="218">
        <v>0</v>
      </c>
      <c r="D35" s="218">
        <v>546311</v>
      </c>
      <c r="E35" s="223">
        <v>0</v>
      </c>
      <c r="F35" s="223">
        <v>7212</v>
      </c>
      <c r="G35" s="223">
        <v>2798762</v>
      </c>
      <c r="H35" s="224">
        <v>0</v>
      </c>
      <c r="I35" s="225">
        <v>0</v>
      </c>
      <c r="J35" s="223">
        <v>257340</v>
      </c>
      <c r="K35" s="223">
        <v>129396</v>
      </c>
      <c r="L35" s="223">
        <v>73703</v>
      </c>
      <c r="M35" s="218">
        <v>3812724</v>
      </c>
      <c r="N35" s="74"/>
      <c r="O35" s="61"/>
    </row>
    <row r="36" spans="1:15" s="56" customFormat="1">
      <c r="A36" s="413"/>
      <c r="B36" s="227" t="s">
        <v>16</v>
      </c>
      <c r="C36" s="228">
        <v>0</v>
      </c>
      <c r="D36" s="228">
        <v>621124</v>
      </c>
      <c r="E36" s="237">
        <v>0</v>
      </c>
      <c r="F36" s="228">
        <v>30265</v>
      </c>
      <c r="G36" s="228">
        <v>4517709</v>
      </c>
      <c r="H36" s="228">
        <v>0</v>
      </c>
      <c r="I36" s="228">
        <v>0</v>
      </c>
      <c r="J36" s="228">
        <v>617355</v>
      </c>
      <c r="K36" s="228">
        <v>164400</v>
      </c>
      <c r="L36" s="228">
        <v>161893</v>
      </c>
      <c r="M36" s="228">
        <v>6112746</v>
      </c>
      <c r="N36" s="60">
        <f>M36/1000000</f>
        <v>6.1127459999999996</v>
      </c>
      <c r="O36" s="61"/>
    </row>
    <row r="37" spans="1:15" s="62" customFormat="1">
      <c r="A37" s="414" t="s">
        <v>288</v>
      </c>
      <c r="B37" s="415"/>
      <c r="C37" s="218">
        <v>1637</v>
      </c>
      <c r="D37" s="218">
        <v>3576</v>
      </c>
      <c r="E37" s="223">
        <v>1477</v>
      </c>
      <c r="F37" s="223">
        <v>639</v>
      </c>
      <c r="G37" s="223">
        <v>30049</v>
      </c>
      <c r="H37" s="224">
        <v>6433</v>
      </c>
      <c r="I37" s="225">
        <v>0</v>
      </c>
      <c r="J37" s="223">
        <v>39606</v>
      </c>
      <c r="K37" s="223">
        <v>8674</v>
      </c>
      <c r="L37" s="223">
        <v>60559</v>
      </c>
      <c r="M37" s="218">
        <v>152650</v>
      </c>
      <c r="N37" s="74"/>
      <c r="O37" s="61"/>
    </row>
    <row r="38" spans="1:15" s="62" customFormat="1">
      <c r="A38" s="414" t="s">
        <v>289</v>
      </c>
      <c r="B38" s="415"/>
      <c r="C38" s="218">
        <v>1637</v>
      </c>
      <c r="D38" s="218">
        <v>3576</v>
      </c>
      <c r="E38" s="223">
        <v>1170</v>
      </c>
      <c r="F38" s="223">
        <v>607</v>
      </c>
      <c r="G38" s="223">
        <v>28581</v>
      </c>
      <c r="H38" s="224">
        <v>6433</v>
      </c>
      <c r="I38" s="225">
        <v>16</v>
      </c>
      <c r="J38" s="223">
        <v>39606</v>
      </c>
      <c r="K38" s="223">
        <v>8326</v>
      </c>
      <c r="L38" s="223">
        <v>59315</v>
      </c>
      <c r="M38" s="218">
        <v>149267</v>
      </c>
      <c r="N38" s="74"/>
      <c r="O38" s="61"/>
    </row>
    <row r="39" spans="1:15" s="63" customFormat="1">
      <c r="A39" s="414" t="s">
        <v>22</v>
      </c>
      <c r="B39" s="415"/>
      <c r="C39" s="218">
        <v>100347</v>
      </c>
      <c r="D39" s="218">
        <v>284440</v>
      </c>
      <c r="E39" s="223">
        <v>109647</v>
      </c>
      <c r="F39" s="223">
        <v>22705</v>
      </c>
      <c r="G39" s="223">
        <v>1294407</v>
      </c>
      <c r="H39" s="224">
        <v>674798</v>
      </c>
      <c r="I39" s="225">
        <v>0</v>
      </c>
      <c r="J39" s="223">
        <v>230592</v>
      </c>
      <c r="K39" s="223">
        <v>1662068</v>
      </c>
      <c r="L39" s="223">
        <v>408180</v>
      </c>
      <c r="M39" s="218">
        <v>4787184</v>
      </c>
      <c r="N39" s="60">
        <f>M39/1000000</f>
        <v>4.7871839999999999</v>
      </c>
      <c r="O39" s="61">
        <f>476*15</f>
        <v>7140</v>
      </c>
    </row>
    <row r="40" spans="1:15" s="63" customFormat="1">
      <c r="A40" s="416" t="s">
        <v>237</v>
      </c>
      <c r="B40" s="417"/>
      <c r="C40" s="218">
        <v>100347</v>
      </c>
      <c r="D40" s="218">
        <v>284440</v>
      </c>
      <c r="E40" s="223">
        <v>83858</v>
      </c>
      <c r="F40" s="223">
        <v>22065</v>
      </c>
      <c r="G40" s="223">
        <v>1207373</v>
      </c>
      <c r="H40" s="224">
        <v>674798</v>
      </c>
      <c r="I40" s="225">
        <v>0</v>
      </c>
      <c r="J40" s="223">
        <v>230592</v>
      </c>
      <c r="K40" s="223">
        <v>1607055</v>
      </c>
      <c r="L40" s="223">
        <v>386075</v>
      </c>
      <c r="M40" s="218">
        <v>4596603</v>
      </c>
      <c r="N40" s="60"/>
      <c r="O40" s="61"/>
    </row>
    <row r="41" spans="1:15" s="64" customFormat="1">
      <c r="A41" s="418" t="s">
        <v>290</v>
      </c>
      <c r="B41" s="419"/>
      <c r="C41" s="218">
        <v>635.803</v>
      </c>
      <c r="D41" s="218">
        <v>1825.46</v>
      </c>
      <c r="E41" s="223">
        <v>753.11</v>
      </c>
      <c r="F41" s="223">
        <v>245</v>
      </c>
      <c r="G41" s="223">
        <v>7427.7966050000005</v>
      </c>
      <c r="H41" s="224">
        <v>1675.181</v>
      </c>
      <c r="I41" s="225">
        <v>0</v>
      </c>
      <c r="J41" s="223">
        <v>2596</v>
      </c>
      <c r="K41" s="223">
        <v>4981</v>
      </c>
      <c r="L41" s="223">
        <v>975.58499999999992</v>
      </c>
      <c r="M41" s="218">
        <v>21114.935604999999</v>
      </c>
      <c r="N41" s="74">
        <f>M41/90</f>
        <v>234.6103956111111</v>
      </c>
      <c r="O41" s="103">
        <f>M41/85</f>
        <v>248.41100711764705</v>
      </c>
    </row>
    <row r="42" spans="1:15" s="64" customFormat="1">
      <c r="A42" s="420" t="s">
        <v>291</v>
      </c>
      <c r="B42" s="421"/>
      <c r="C42" s="218">
        <v>635.803</v>
      </c>
      <c r="D42" s="218">
        <v>1825.46</v>
      </c>
      <c r="E42" s="223">
        <v>595.16999999999996</v>
      </c>
      <c r="F42" s="223">
        <v>220</v>
      </c>
      <c r="G42" s="223">
        <v>6517.564069</v>
      </c>
      <c r="H42" s="224">
        <v>1675.181</v>
      </c>
      <c r="I42" s="225">
        <v>20</v>
      </c>
      <c r="J42" s="223">
        <v>2596</v>
      </c>
      <c r="K42" s="223">
        <v>4210</v>
      </c>
      <c r="L42" s="223">
        <v>919.56399999999996</v>
      </c>
      <c r="M42" s="218">
        <v>19214.742069</v>
      </c>
      <c r="N42" s="74"/>
      <c r="O42" s="103"/>
    </row>
    <row r="43" spans="1:15" s="65" customFormat="1">
      <c r="A43" s="422" t="s">
        <v>23</v>
      </c>
      <c r="B43" s="423" t="s">
        <v>24</v>
      </c>
      <c r="C43" s="218">
        <v>355</v>
      </c>
      <c r="D43" s="218">
        <v>867</v>
      </c>
      <c r="E43" s="223">
        <v>141</v>
      </c>
      <c r="F43" s="223">
        <v>3</v>
      </c>
      <c r="G43" s="223">
        <v>545</v>
      </c>
      <c r="H43" s="224">
        <v>191</v>
      </c>
      <c r="I43" s="225">
        <v>25</v>
      </c>
      <c r="J43" s="223">
        <v>2</v>
      </c>
      <c r="K43" s="223">
        <v>89</v>
      </c>
      <c r="L43" s="223">
        <v>113</v>
      </c>
      <c r="M43" s="218">
        <v>2331</v>
      </c>
      <c r="N43" s="74"/>
      <c r="O43" s="61"/>
    </row>
    <row r="44" spans="1:15" s="56" customFormat="1">
      <c r="A44" s="410" t="s">
        <v>25</v>
      </c>
      <c r="B44" s="238" t="s">
        <v>24</v>
      </c>
      <c r="C44" s="218">
        <v>11370</v>
      </c>
      <c r="D44" s="218">
        <v>2900</v>
      </c>
      <c r="E44" s="223">
        <v>4453</v>
      </c>
      <c r="F44" s="223">
        <v>780</v>
      </c>
      <c r="G44" s="223">
        <v>9852</v>
      </c>
      <c r="H44" s="224">
        <v>6068</v>
      </c>
      <c r="I44" s="225">
        <v>3526</v>
      </c>
      <c r="J44" s="223">
        <v>25</v>
      </c>
      <c r="K44" s="223">
        <v>2125</v>
      </c>
      <c r="L44" s="223">
        <v>1947</v>
      </c>
      <c r="M44" s="218">
        <v>43046</v>
      </c>
      <c r="N44" s="74"/>
      <c r="O44" s="61"/>
    </row>
    <row r="45" spans="1:15" s="56" customFormat="1">
      <c r="A45" s="410"/>
      <c r="B45" s="239" t="s">
        <v>26</v>
      </c>
      <c r="C45" s="218">
        <v>9922</v>
      </c>
      <c r="D45" s="218">
        <v>7375</v>
      </c>
      <c r="E45" s="223">
        <v>5543</v>
      </c>
      <c r="F45" s="223">
        <v>608</v>
      </c>
      <c r="G45" s="223">
        <v>10537</v>
      </c>
      <c r="H45" s="224">
        <v>4854</v>
      </c>
      <c r="I45" s="225">
        <v>5110</v>
      </c>
      <c r="J45" s="223">
        <v>55</v>
      </c>
      <c r="K45" s="223">
        <v>3046</v>
      </c>
      <c r="L45" s="223">
        <v>707</v>
      </c>
      <c r="M45" s="218">
        <v>47757</v>
      </c>
      <c r="N45" s="74"/>
      <c r="O45" s="61"/>
    </row>
    <row r="46" spans="1:15" s="56" customFormat="1">
      <c r="A46" s="410"/>
      <c r="B46" s="240" t="s">
        <v>16</v>
      </c>
      <c r="C46" s="228">
        <v>21292</v>
      </c>
      <c r="D46" s="228">
        <v>10275</v>
      </c>
      <c r="E46" s="237">
        <v>9996</v>
      </c>
      <c r="F46" s="228">
        <v>1388</v>
      </c>
      <c r="G46" s="228">
        <v>20389</v>
      </c>
      <c r="H46" s="228">
        <v>10922</v>
      </c>
      <c r="I46" s="228">
        <v>8636</v>
      </c>
      <c r="J46" s="228">
        <v>80</v>
      </c>
      <c r="K46" s="228">
        <v>5171</v>
      </c>
      <c r="L46" s="228">
        <v>2654</v>
      </c>
      <c r="M46" s="228">
        <v>90803</v>
      </c>
      <c r="N46" s="75">
        <f>M44/M46%</f>
        <v>47.405922711804678</v>
      </c>
      <c r="O46" s="61"/>
    </row>
    <row r="47" spans="1:15" s="56" customFormat="1">
      <c r="A47" s="424" t="s">
        <v>292</v>
      </c>
      <c r="B47" s="238" t="s">
        <v>17</v>
      </c>
      <c r="C47" s="218">
        <v>0</v>
      </c>
      <c r="D47" s="218">
        <v>0</v>
      </c>
      <c r="E47" s="223">
        <v>0</v>
      </c>
      <c r="F47" s="223">
        <v>0</v>
      </c>
      <c r="G47" s="223">
        <v>22888</v>
      </c>
      <c r="H47" s="224">
        <v>0</v>
      </c>
      <c r="I47" s="225"/>
      <c r="J47" s="223">
        <v>0</v>
      </c>
      <c r="K47" s="223">
        <v>3346</v>
      </c>
      <c r="L47" s="223">
        <v>0</v>
      </c>
      <c r="M47" s="218">
        <v>26234</v>
      </c>
      <c r="N47" s="74"/>
      <c r="O47" s="61"/>
    </row>
    <row r="48" spans="1:15" s="56" customFormat="1">
      <c r="A48" s="424"/>
      <c r="B48" s="239" t="s">
        <v>18</v>
      </c>
      <c r="C48" s="218">
        <v>0</v>
      </c>
      <c r="D48" s="218">
        <v>0</v>
      </c>
      <c r="E48" s="223">
        <v>0</v>
      </c>
      <c r="F48" s="223">
        <v>0</v>
      </c>
      <c r="G48" s="223">
        <v>2494</v>
      </c>
      <c r="H48" s="224">
        <v>0</v>
      </c>
      <c r="I48" s="225"/>
      <c r="J48" s="223">
        <v>0</v>
      </c>
      <c r="K48" s="223">
        <v>722</v>
      </c>
      <c r="L48" s="223">
        <v>0</v>
      </c>
      <c r="M48" s="218">
        <v>3216</v>
      </c>
      <c r="N48" s="74"/>
      <c r="O48" s="61"/>
    </row>
    <row r="49" spans="1:15" s="56" customFormat="1">
      <c r="A49" s="424"/>
      <c r="B49" s="240" t="s">
        <v>16</v>
      </c>
      <c r="C49" s="228">
        <v>0</v>
      </c>
      <c r="D49" s="228">
        <v>0</v>
      </c>
      <c r="E49" s="237">
        <v>0</v>
      </c>
      <c r="F49" s="228">
        <v>0</v>
      </c>
      <c r="G49" s="228">
        <v>25382</v>
      </c>
      <c r="H49" s="228">
        <v>0</v>
      </c>
      <c r="I49" s="228">
        <v>0</v>
      </c>
      <c r="J49" s="228">
        <v>0</v>
      </c>
      <c r="K49" s="228">
        <v>4068</v>
      </c>
      <c r="L49" s="228">
        <v>0</v>
      </c>
      <c r="M49" s="228">
        <v>29450</v>
      </c>
      <c r="N49" s="74"/>
      <c r="O49" s="61"/>
    </row>
    <row r="50" spans="1:15" s="56" customFormat="1">
      <c r="A50" s="410" t="s">
        <v>293</v>
      </c>
      <c r="B50" s="238" t="s">
        <v>17</v>
      </c>
      <c r="C50" s="218">
        <v>31</v>
      </c>
      <c r="D50" s="218">
        <v>1243</v>
      </c>
      <c r="E50" s="223">
        <v>1688</v>
      </c>
      <c r="F50" s="223">
        <v>95</v>
      </c>
      <c r="G50" s="223">
        <v>3153</v>
      </c>
      <c r="H50" s="224">
        <v>8442</v>
      </c>
      <c r="I50" s="225">
        <v>410</v>
      </c>
      <c r="J50" s="223">
        <v>4777</v>
      </c>
      <c r="K50" s="223">
        <v>1066</v>
      </c>
      <c r="L50" s="223">
        <v>867</v>
      </c>
      <c r="M50" s="218">
        <v>21772</v>
      </c>
      <c r="N50" s="74"/>
      <c r="O50" s="61"/>
    </row>
    <row r="51" spans="1:15" s="56" customFormat="1">
      <c r="A51" s="410"/>
      <c r="B51" s="239" t="s">
        <v>18</v>
      </c>
      <c r="C51" s="218">
        <v>0</v>
      </c>
      <c r="D51" s="218">
        <v>0</v>
      </c>
      <c r="E51" s="223">
        <v>0</v>
      </c>
      <c r="F51" s="223">
        <v>0</v>
      </c>
      <c r="G51" s="223">
        <v>0</v>
      </c>
      <c r="H51" s="224">
        <v>1770</v>
      </c>
      <c r="I51" s="225"/>
      <c r="J51" s="223">
        <v>0</v>
      </c>
      <c r="K51" s="223">
        <v>467</v>
      </c>
      <c r="L51" s="223">
        <v>675</v>
      </c>
      <c r="M51" s="218">
        <v>2912</v>
      </c>
      <c r="N51" s="74"/>
      <c r="O51" s="61"/>
    </row>
    <row r="52" spans="1:15" s="56" customFormat="1" ht="13.5" thickBot="1">
      <c r="A52" s="411"/>
      <c r="B52" s="241" t="s">
        <v>16</v>
      </c>
      <c r="C52" s="228">
        <v>31</v>
      </c>
      <c r="D52" s="228">
        <v>1243</v>
      </c>
      <c r="E52" s="237">
        <v>1688</v>
      </c>
      <c r="F52" s="228">
        <v>95</v>
      </c>
      <c r="G52" s="228">
        <v>3153</v>
      </c>
      <c r="H52" s="228">
        <v>10212</v>
      </c>
      <c r="I52" s="228">
        <v>410</v>
      </c>
      <c r="J52" s="228">
        <v>4777</v>
      </c>
      <c r="K52" s="228">
        <v>1533</v>
      </c>
      <c r="L52" s="228">
        <v>1542</v>
      </c>
      <c r="M52" s="228">
        <v>24684</v>
      </c>
      <c r="N52" s="74"/>
      <c r="O52" s="61"/>
    </row>
    <row r="53" spans="1:15">
      <c r="A53" s="242" t="s">
        <v>315</v>
      </c>
      <c r="B53" s="242"/>
      <c r="C53" s="242"/>
      <c r="D53" s="208"/>
      <c r="E53" s="217"/>
      <c r="F53" s="208"/>
      <c r="G53" s="243"/>
      <c r="H53" s="244"/>
      <c r="I53" s="225"/>
      <c r="J53" s="208"/>
      <c r="K53" s="218"/>
      <c r="L53" s="224"/>
      <c r="M53" s="208"/>
    </row>
    <row r="54" spans="1:15">
      <c r="A54" s="242" t="s">
        <v>316</v>
      </c>
      <c r="B54" s="242"/>
      <c r="C54" s="242"/>
      <c r="D54" s="208"/>
      <c r="E54" s="217"/>
      <c r="F54" s="208"/>
      <c r="G54" s="242"/>
      <c r="H54" s="244"/>
      <c r="I54" s="208"/>
      <c r="J54" s="208"/>
      <c r="K54" s="208"/>
      <c r="L54" s="208"/>
      <c r="M54" s="208"/>
    </row>
    <row r="55" spans="1:15">
      <c r="A55" s="245" t="s">
        <v>270</v>
      </c>
      <c r="B55" s="242"/>
      <c r="C55" s="242"/>
      <c r="D55" s="208"/>
      <c r="E55" s="217"/>
      <c r="F55" s="208"/>
      <c r="G55" s="208"/>
      <c r="H55" s="208"/>
      <c r="I55" s="208"/>
      <c r="J55" s="208"/>
      <c r="K55" s="208"/>
      <c r="L55" s="208"/>
      <c r="M55" s="208"/>
    </row>
    <row r="56" spans="1:15">
      <c r="E56" s="87"/>
    </row>
    <row r="57" spans="1:15">
      <c r="E57" s="139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RowHeight="15"/>
  <cols>
    <col min="1" max="1" width="35.42578125" style="152" customWidth="1"/>
    <col min="2" max="2" width="25.5703125" style="152" customWidth="1"/>
    <col min="3" max="3" width="18.140625" style="152" customWidth="1"/>
    <col min="4" max="4" width="16.28515625" style="152" customWidth="1"/>
    <col min="5" max="5" width="12.140625" style="152" customWidth="1"/>
    <col min="6" max="6" width="16.140625" style="152" customWidth="1"/>
    <col min="7" max="7" width="13.42578125" style="152" customWidth="1"/>
    <col min="8" max="8" width="12.85546875" style="152" customWidth="1"/>
    <col min="9" max="9" width="13.85546875" style="152" customWidth="1"/>
    <col min="10" max="10" width="12.85546875" style="152" customWidth="1"/>
    <col min="11" max="11" width="16.7109375" style="152" customWidth="1"/>
    <col min="12" max="12" width="16.5703125" style="152" customWidth="1"/>
    <col min="13" max="13" width="13.140625" style="152" customWidth="1"/>
    <col min="14" max="14" width="16.28515625" style="152" customWidth="1"/>
    <col min="15" max="15" width="15.7109375" style="152" customWidth="1"/>
    <col min="16" max="16" width="16.7109375" style="152" customWidth="1"/>
    <col min="17" max="17" width="16.28515625" style="152" customWidth="1"/>
    <col min="18" max="18" width="17.28515625" style="152" customWidth="1"/>
    <col min="19" max="19" width="17.5703125" style="152" customWidth="1"/>
    <col min="20" max="20" width="15.7109375" style="152" customWidth="1"/>
    <col min="21" max="21" width="17.7109375" style="152" customWidth="1"/>
    <col min="22" max="22" width="18.140625" style="152" customWidth="1"/>
    <col min="23" max="23" width="16.28515625" style="152" customWidth="1"/>
    <col min="24" max="24" width="19.140625" style="152" customWidth="1"/>
    <col min="25" max="26" width="13.85546875" style="152" customWidth="1"/>
    <col min="27" max="27" width="12.140625" style="152" customWidth="1"/>
    <col min="28" max="28" width="13.5703125" style="152" customWidth="1"/>
    <col min="29" max="29" width="14.5703125" style="152" customWidth="1"/>
    <col min="30" max="30" width="13.140625" style="152" customWidth="1"/>
    <col min="31" max="31" width="12.42578125" style="152" customWidth="1"/>
    <col min="32" max="32" width="14" style="152" customWidth="1"/>
    <col min="33" max="16384" width="9.140625" style="152"/>
  </cols>
  <sheetData>
    <row r="1" spans="1:33" ht="15.75">
      <c r="A1" s="150" t="s">
        <v>247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</row>
    <row r="2" spans="1:33" ht="15.75">
      <c r="A2" s="150" t="s">
        <v>298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</row>
    <row r="3" spans="1:33">
      <c r="A3" s="442" t="s">
        <v>0</v>
      </c>
      <c r="B3" s="442"/>
      <c r="C3" s="153">
        <v>30651</v>
      </c>
      <c r="D3" s="153">
        <v>31017</v>
      </c>
      <c r="E3" s="153">
        <v>31382</v>
      </c>
      <c r="F3" s="153">
        <v>31747</v>
      </c>
      <c r="G3" s="153">
        <v>32112</v>
      </c>
      <c r="H3" s="153">
        <v>32478</v>
      </c>
      <c r="I3" s="153">
        <v>32843</v>
      </c>
      <c r="J3" s="153">
        <v>33208</v>
      </c>
      <c r="K3" s="153">
        <v>33573</v>
      </c>
      <c r="L3" s="153">
        <v>33939</v>
      </c>
      <c r="M3" s="153">
        <v>34304</v>
      </c>
      <c r="N3" s="153">
        <v>34669</v>
      </c>
      <c r="O3" s="153">
        <v>35034</v>
      </c>
      <c r="P3" s="153">
        <v>35400</v>
      </c>
      <c r="Q3" s="153">
        <v>35765</v>
      </c>
      <c r="R3" s="153">
        <v>36130</v>
      </c>
      <c r="S3" s="153">
        <v>36495</v>
      </c>
      <c r="T3" s="153">
        <v>36861</v>
      </c>
      <c r="U3" s="153">
        <v>37226</v>
      </c>
      <c r="V3" s="153">
        <v>37591</v>
      </c>
      <c r="W3" s="153">
        <v>37956</v>
      </c>
      <c r="X3" s="153">
        <v>38322</v>
      </c>
      <c r="Y3" s="153">
        <v>38687</v>
      </c>
      <c r="Z3" s="153">
        <v>39052</v>
      </c>
      <c r="AA3" s="153">
        <v>39417</v>
      </c>
      <c r="AB3" s="153">
        <v>39783</v>
      </c>
      <c r="AC3" s="153">
        <v>40148</v>
      </c>
      <c r="AD3" s="153">
        <v>40513</v>
      </c>
      <c r="AE3" s="153">
        <v>40878</v>
      </c>
      <c r="AF3" s="153">
        <v>41244</v>
      </c>
      <c r="AG3" s="153">
        <v>41639</v>
      </c>
    </row>
    <row r="4" spans="1:33">
      <c r="A4" s="154" t="s">
        <v>248</v>
      </c>
      <c r="B4" s="155"/>
      <c r="C4" s="156">
        <v>2</v>
      </c>
      <c r="D4" s="156">
        <v>3</v>
      </c>
      <c r="E4" s="156">
        <v>5</v>
      </c>
      <c r="F4" s="156">
        <v>5</v>
      </c>
      <c r="G4" s="156">
        <v>5</v>
      </c>
      <c r="H4" s="156">
        <v>5</v>
      </c>
      <c r="I4" s="156">
        <v>5</v>
      </c>
      <c r="J4" s="156">
        <v>7</v>
      </c>
      <c r="K4" s="156">
        <v>7</v>
      </c>
      <c r="L4" s="156">
        <v>7</v>
      </c>
      <c r="M4" s="156">
        <v>18</v>
      </c>
      <c r="N4" s="156">
        <v>18</v>
      </c>
      <c r="O4" s="156">
        <v>19</v>
      </c>
      <c r="P4" s="156">
        <v>22</v>
      </c>
      <c r="Q4" s="156">
        <v>29</v>
      </c>
      <c r="R4" s="156">
        <v>35</v>
      </c>
      <c r="S4" s="156">
        <v>58</v>
      </c>
      <c r="T4" s="156">
        <v>63</v>
      </c>
      <c r="U4" s="156">
        <v>64</v>
      </c>
      <c r="V4" s="156">
        <v>68</v>
      </c>
      <c r="W4" s="156">
        <v>69</v>
      </c>
      <c r="X4" s="156">
        <v>80</v>
      </c>
      <c r="Y4" s="156">
        <v>87</v>
      </c>
      <c r="Z4" s="156">
        <v>93</v>
      </c>
      <c r="AA4" s="156">
        <v>93</v>
      </c>
      <c r="AB4" s="156">
        <v>94</v>
      </c>
      <c r="AC4" s="156">
        <v>105</v>
      </c>
      <c r="AD4" s="156">
        <v>109</v>
      </c>
      <c r="AE4" s="156">
        <v>112</v>
      </c>
      <c r="AF4" s="157">
        <v>112</v>
      </c>
      <c r="AG4" s="152">
        <f>'2. Overall cum progress June Rf'!M4</f>
        <v>121</v>
      </c>
    </row>
    <row r="5" spans="1:33">
      <c r="A5" s="158" t="s">
        <v>299</v>
      </c>
      <c r="B5" s="155"/>
      <c r="C5" s="156">
        <v>25</v>
      </c>
      <c r="D5" s="156">
        <v>86</v>
      </c>
      <c r="E5" s="156">
        <v>110</v>
      </c>
      <c r="F5" s="156">
        <v>110</v>
      </c>
      <c r="G5" s="156">
        <v>110</v>
      </c>
      <c r="H5" s="156">
        <v>110</v>
      </c>
      <c r="I5" s="156">
        <v>110</v>
      </c>
      <c r="J5" s="156">
        <v>120</v>
      </c>
      <c r="K5" s="156">
        <v>121</v>
      </c>
      <c r="L5" s="156">
        <v>121</v>
      </c>
      <c r="M5" s="156">
        <v>165</v>
      </c>
      <c r="N5" s="156">
        <v>250</v>
      </c>
      <c r="O5" s="156">
        <v>284</v>
      </c>
      <c r="P5" s="156">
        <v>440</v>
      </c>
      <c r="Q5" s="156">
        <v>528</v>
      </c>
      <c r="R5" s="156">
        <v>665</v>
      </c>
      <c r="S5" s="156">
        <v>997</v>
      </c>
      <c r="T5" s="156">
        <v>1093</v>
      </c>
      <c r="U5" s="156">
        <v>1205</v>
      </c>
      <c r="V5" s="156">
        <v>1521</v>
      </c>
      <c r="W5" s="156">
        <v>1642</v>
      </c>
      <c r="X5" s="156">
        <v>1894</v>
      </c>
      <c r="Y5" s="156">
        <v>2459</v>
      </c>
      <c r="Z5" s="156">
        <v>2647</v>
      </c>
      <c r="AA5" s="156">
        <v>2852</v>
      </c>
      <c r="AB5" s="156">
        <v>3187</v>
      </c>
      <c r="AC5" s="156">
        <v>3468</v>
      </c>
      <c r="AD5" s="156">
        <v>3739</v>
      </c>
      <c r="AE5" s="156">
        <v>3528</v>
      </c>
      <c r="AF5" s="157">
        <v>3579</v>
      </c>
      <c r="AG5" s="152">
        <f>'2. Overall cum progress June Rf'!M5</f>
        <v>3648</v>
      </c>
    </row>
    <row r="6" spans="1:33">
      <c r="A6" s="158" t="s">
        <v>300</v>
      </c>
      <c r="B6" s="155"/>
      <c r="C6" s="156">
        <v>9429.2324966162178</v>
      </c>
      <c r="D6" s="156">
        <v>27541.183979328169</v>
      </c>
      <c r="E6" s="156">
        <v>32194.764531807559</v>
      </c>
      <c r="F6" s="156">
        <v>36593.247176079742</v>
      </c>
      <c r="G6" s="156">
        <v>41864.227267134251</v>
      </c>
      <c r="H6" s="156">
        <v>47702.526325827494</v>
      </c>
      <c r="I6" s="156">
        <v>52553.299126368896</v>
      </c>
      <c r="J6" s="156">
        <v>63040.744524424765</v>
      </c>
      <c r="K6" s="156">
        <v>69370.538999630866</v>
      </c>
      <c r="L6" s="156">
        <v>75465.052497846686</v>
      </c>
      <c r="M6" s="156">
        <v>93525.429568106309</v>
      </c>
      <c r="N6" s="156">
        <v>106187.28372093022</v>
      </c>
      <c r="O6" s="156">
        <v>120297.6977728559</v>
      </c>
      <c r="P6" s="156">
        <v>163222.66893687705</v>
      </c>
      <c r="Q6" s="156">
        <v>217658.34453057707</v>
      </c>
      <c r="R6" s="156">
        <v>292997.91411344899</v>
      </c>
      <c r="S6" s="156">
        <v>391655.85943152453</v>
      </c>
      <c r="T6" s="156">
        <v>473371.01459948317</v>
      </c>
      <c r="U6" s="156">
        <v>606186.94726836472</v>
      </c>
      <c r="V6" s="156">
        <v>740798.94726836472</v>
      </c>
      <c r="W6" s="156">
        <v>842214.94726836472</v>
      </c>
      <c r="X6" s="156">
        <v>974557.02857142861</v>
      </c>
      <c r="Y6" s="156">
        <v>1153289.6369262952</v>
      </c>
      <c r="Z6" s="156">
        <v>1376039.6050510644</v>
      </c>
      <c r="AA6" s="156">
        <v>1792948</v>
      </c>
      <c r="AB6" s="156">
        <v>2206474</v>
      </c>
      <c r="AC6" s="156">
        <v>2985924</v>
      </c>
      <c r="AD6" s="156">
        <v>4148316</v>
      </c>
      <c r="AE6" s="156">
        <v>4605847</v>
      </c>
      <c r="AF6" s="157">
        <v>5190417</v>
      </c>
      <c r="AG6" s="152">
        <f>'2. Overall cum progress June Rf'!M6</f>
        <v>5993888</v>
      </c>
    </row>
    <row r="7" spans="1:33">
      <c r="A7" s="159" t="s">
        <v>301</v>
      </c>
      <c r="B7" s="160"/>
      <c r="C7" s="161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/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  <c r="X7" s="156">
        <v>0</v>
      </c>
      <c r="Y7" s="156">
        <v>0</v>
      </c>
      <c r="Z7" s="156">
        <v>0</v>
      </c>
      <c r="AA7" s="156">
        <v>0</v>
      </c>
      <c r="AB7" s="156">
        <v>0</v>
      </c>
      <c r="AC7" s="156">
        <v>261</v>
      </c>
      <c r="AD7" s="156">
        <v>484</v>
      </c>
      <c r="AE7" s="156">
        <v>624</v>
      </c>
      <c r="AF7" s="157">
        <v>765</v>
      </c>
      <c r="AG7" s="152">
        <f>'2. Overall cum progress June Rf'!M7</f>
        <v>1071</v>
      </c>
    </row>
    <row r="8" spans="1:33">
      <c r="A8" s="435" t="s">
        <v>287</v>
      </c>
      <c r="B8" s="162" t="s">
        <v>13</v>
      </c>
      <c r="C8" s="156">
        <v>0</v>
      </c>
      <c r="D8" s="156">
        <v>76</v>
      </c>
      <c r="E8" s="156">
        <v>103</v>
      </c>
      <c r="F8" s="156">
        <v>124</v>
      </c>
      <c r="G8" s="156">
        <v>161</v>
      </c>
      <c r="H8" s="156">
        <v>230</v>
      </c>
      <c r="I8" s="156">
        <v>287</v>
      </c>
      <c r="J8" s="156">
        <v>403</v>
      </c>
      <c r="K8" s="156">
        <v>507</v>
      </c>
      <c r="L8" s="156">
        <v>612</v>
      </c>
      <c r="M8" s="156">
        <v>832</v>
      </c>
      <c r="N8" s="156">
        <v>1100</v>
      </c>
      <c r="O8" s="156">
        <v>1295</v>
      </c>
      <c r="P8" s="156">
        <v>1878</v>
      </c>
      <c r="Q8" s="156">
        <v>2682</v>
      </c>
      <c r="R8" s="156">
        <v>3460</v>
      </c>
      <c r="S8" s="156">
        <v>4909</v>
      </c>
      <c r="T8" s="156">
        <v>6805</v>
      </c>
      <c r="U8" s="156">
        <v>9623</v>
      </c>
      <c r="V8" s="156">
        <v>11806</v>
      </c>
      <c r="W8" s="156">
        <v>14066</v>
      </c>
      <c r="X8" s="156">
        <v>17196</v>
      </c>
      <c r="Y8" s="156">
        <v>21224</v>
      </c>
      <c r="Z8" s="156">
        <v>25917</v>
      </c>
      <c r="AA8" s="156">
        <v>34357</v>
      </c>
      <c r="AB8" s="156">
        <v>42040</v>
      </c>
      <c r="AC8" s="156">
        <v>69350</v>
      </c>
      <c r="AD8" s="156">
        <v>107848</v>
      </c>
      <c r="AE8" s="156">
        <v>126925</v>
      </c>
      <c r="AF8" s="157">
        <v>151842</v>
      </c>
      <c r="AG8" s="152">
        <f>'2. Overall cum progress June Rf'!M8</f>
        <v>169663</v>
      </c>
    </row>
    <row r="9" spans="1:33">
      <c r="A9" s="435"/>
      <c r="B9" s="163" t="s">
        <v>14</v>
      </c>
      <c r="C9" s="156">
        <v>178</v>
      </c>
      <c r="D9" s="156">
        <v>401</v>
      </c>
      <c r="E9" s="156">
        <v>483</v>
      </c>
      <c r="F9" s="156">
        <v>566</v>
      </c>
      <c r="G9" s="156">
        <v>754</v>
      </c>
      <c r="H9" s="156">
        <v>979</v>
      </c>
      <c r="I9" s="156">
        <v>1158</v>
      </c>
      <c r="J9" s="156">
        <v>1373</v>
      </c>
      <c r="K9" s="156">
        <v>1562</v>
      </c>
      <c r="L9" s="156">
        <v>1723</v>
      </c>
      <c r="M9" s="156">
        <v>2150</v>
      </c>
      <c r="N9" s="156">
        <v>2594</v>
      </c>
      <c r="O9" s="156">
        <v>2866</v>
      </c>
      <c r="P9" s="156">
        <v>3877</v>
      </c>
      <c r="Q9" s="156">
        <v>5222</v>
      </c>
      <c r="R9" s="156">
        <v>7758</v>
      </c>
      <c r="S9" s="156">
        <v>10700.1</v>
      </c>
      <c r="T9" s="156">
        <v>14087.25</v>
      </c>
      <c r="U9" s="156">
        <v>19122.25</v>
      </c>
      <c r="V9" s="156">
        <v>23567.25</v>
      </c>
      <c r="W9" s="156">
        <v>28023.25</v>
      </c>
      <c r="X9" s="156">
        <v>33276.25</v>
      </c>
      <c r="Y9" s="156">
        <v>41472.25</v>
      </c>
      <c r="Z9" s="156">
        <v>51345.25</v>
      </c>
      <c r="AA9" s="156">
        <v>75369</v>
      </c>
      <c r="AB9" s="156">
        <v>94891</v>
      </c>
      <c r="AC9" s="156">
        <v>113495</v>
      </c>
      <c r="AD9" s="156">
        <v>136575</v>
      </c>
      <c r="AE9" s="156">
        <v>142643</v>
      </c>
      <c r="AF9" s="157">
        <v>150078</v>
      </c>
      <c r="AG9" s="152">
        <f>'2. Overall cum progress June Rf'!M9</f>
        <v>166294</v>
      </c>
    </row>
    <row r="10" spans="1:33">
      <c r="A10" s="435"/>
      <c r="B10" s="163" t="s">
        <v>15</v>
      </c>
      <c r="C10" s="156">
        <v>0</v>
      </c>
      <c r="D10" s="156">
        <v>0</v>
      </c>
      <c r="E10" s="156">
        <v>0</v>
      </c>
      <c r="F10" s="156">
        <v>0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6">
        <v>10</v>
      </c>
      <c r="N10" s="156">
        <v>52</v>
      </c>
      <c r="O10" s="156">
        <v>52</v>
      </c>
      <c r="P10" s="156">
        <v>156</v>
      </c>
      <c r="Q10" s="156">
        <v>328</v>
      </c>
      <c r="R10" s="156">
        <v>483</v>
      </c>
      <c r="S10" s="156">
        <v>714.1</v>
      </c>
      <c r="T10" s="156">
        <v>891.1</v>
      </c>
      <c r="U10" s="156">
        <v>1078.0999999999999</v>
      </c>
      <c r="V10" s="156">
        <v>1252.0999999999999</v>
      </c>
      <c r="W10" s="156">
        <v>1477.1</v>
      </c>
      <c r="X10" s="156">
        <v>1584.1</v>
      </c>
      <c r="Y10" s="156">
        <v>2230.1</v>
      </c>
      <c r="Z10" s="156">
        <v>2913.1</v>
      </c>
      <c r="AA10" s="156">
        <v>4066</v>
      </c>
      <c r="AB10" s="156">
        <v>5387</v>
      </c>
      <c r="AC10" s="156">
        <v>7553</v>
      </c>
      <c r="AD10" s="156">
        <v>10447</v>
      </c>
      <c r="AE10" s="156">
        <v>10437</v>
      </c>
      <c r="AF10" s="157">
        <v>11224</v>
      </c>
      <c r="AG10" s="152">
        <f>'2. Overall cum progress June Rf'!M10</f>
        <v>14010</v>
      </c>
    </row>
    <row r="11" spans="1:33">
      <c r="A11" s="435"/>
      <c r="B11" s="164" t="s">
        <v>16</v>
      </c>
      <c r="C11" s="165">
        <v>178</v>
      </c>
      <c r="D11" s="165">
        <v>477</v>
      </c>
      <c r="E11" s="165">
        <v>586</v>
      </c>
      <c r="F11" s="165">
        <v>690</v>
      </c>
      <c r="G11" s="165">
        <v>915</v>
      </c>
      <c r="H11" s="165">
        <v>1209</v>
      </c>
      <c r="I11" s="165">
        <v>1445</v>
      </c>
      <c r="J11" s="165">
        <v>1776</v>
      </c>
      <c r="K11" s="165">
        <v>2069</v>
      </c>
      <c r="L11" s="165">
        <v>2335</v>
      </c>
      <c r="M11" s="165">
        <v>2992</v>
      </c>
      <c r="N11" s="165">
        <v>3746</v>
      </c>
      <c r="O11" s="165">
        <v>4213</v>
      </c>
      <c r="P11" s="165">
        <v>5911</v>
      </c>
      <c r="Q11" s="165">
        <v>8232</v>
      </c>
      <c r="R11" s="165">
        <v>11701</v>
      </c>
      <c r="S11" s="165">
        <v>16323.2</v>
      </c>
      <c r="T11" s="165">
        <v>21783.35</v>
      </c>
      <c r="U11" s="165">
        <v>29823.35</v>
      </c>
      <c r="V11" s="165">
        <v>36625.35</v>
      </c>
      <c r="W11" s="165">
        <v>43566.35</v>
      </c>
      <c r="X11" s="165">
        <v>52056.35</v>
      </c>
      <c r="Y11" s="165">
        <v>64926.35</v>
      </c>
      <c r="Z11" s="165">
        <v>80175.350000000006</v>
      </c>
      <c r="AA11" s="165">
        <v>113792</v>
      </c>
      <c r="AB11" s="165">
        <v>142318</v>
      </c>
      <c r="AC11" s="165">
        <v>190398</v>
      </c>
      <c r="AD11" s="165">
        <v>254870</v>
      </c>
      <c r="AE11" s="165">
        <v>280005</v>
      </c>
      <c r="AF11" s="166">
        <v>313144</v>
      </c>
      <c r="AG11" s="152">
        <f>'2. Overall cum progress June Rf'!M11</f>
        <v>349967</v>
      </c>
    </row>
    <row r="12" spans="1:33">
      <c r="A12" s="435" t="s">
        <v>302</v>
      </c>
      <c r="B12" s="162" t="s">
        <v>17</v>
      </c>
      <c r="C12" s="156">
        <v>0</v>
      </c>
      <c r="D12" s="156">
        <v>4156</v>
      </c>
      <c r="E12" s="156">
        <v>5351</v>
      </c>
      <c r="F12" s="156">
        <v>6770</v>
      </c>
      <c r="G12" s="156">
        <v>8308</v>
      </c>
      <c r="H12" s="156">
        <v>9667</v>
      </c>
      <c r="I12" s="156">
        <v>11342</v>
      </c>
      <c r="J12" s="156">
        <v>15868</v>
      </c>
      <c r="K12" s="156">
        <v>18370</v>
      </c>
      <c r="L12" s="156">
        <v>20668</v>
      </c>
      <c r="M12" s="156">
        <v>27083</v>
      </c>
      <c r="N12" s="156">
        <v>34948</v>
      </c>
      <c r="O12" s="156">
        <v>41234</v>
      </c>
      <c r="P12" s="156">
        <v>60898</v>
      </c>
      <c r="Q12" s="156">
        <v>84330</v>
      </c>
      <c r="R12" s="156">
        <v>106010</v>
      </c>
      <c r="S12" s="156">
        <v>146484</v>
      </c>
      <c r="T12" s="156">
        <v>177654</v>
      </c>
      <c r="U12" s="156">
        <v>228862</v>
      </c>
      <c r="V12" s="156">
        <v>269932</v>
      </c>
      <c r="W12" s="156">
        <v>310752.90000000002</v>
      </c>
      <c r="X12" s="156">
        <v>361417.9</v>
      </c>
      <c r="Y12" s="156">
        <v>430288.10000000003</v>
      </c>
      <c r="Z12" s="156">
        <v>508702</v>
      </c>
      <c r="AA12" s="156">
        <v>655372</v>
      </c>
      <c r="AB12" s="156">
        <v>784693</v>
      </c>
      <c r="AC12" s="156">
        <v>1342680</v>
      </c>
      <c r="AD12" s="156">
        <v>1985063</v>
      </c>
      <c r="AE12" s="156">
        <v>2272219</v>
      </c>
      <c r="AF12" s="157">
        <v>2733738</v>
      </c>
      <c r="AG12" s="152">
        <f>'2. Overall cum progress June Rf'!M12</f>
        <v>3094081</v>
      </c>
    </row>
    <row r="13" spans="1:33">
      <c r="A13" s="435"/>
      <c r="B13" s="163" t="s">
        <v>18</v>
      </c>
      <c r="C13" s="156">
        <v>12050</v>
      </c>
      <c r="D13" s="156">
        <v>31040</v>
      </c>
      <c r="E13" s="156">
        <v>35792</v>
      </c>
      <c r="F13" s="156">
        <v>39994</v>
      </c>
      <c r="G13" s="156">
        <v>45192</v>
      </c>
      <c r="H13" s="156">
        <v>51294</v>
      </c>
      <c r="I13" s="156">
        <v>55818</v>
      </c>
      <c r="J13" s="156">
        <v>64410</v>
      </c>
      <c r="K13" s="156">
        <v>69444</v>
      </c>
      <c r="L13" s="156">
        <v>74301</v>
      </c>
      <c r="M13" s="156">
        <v>89234</v>
      </c>
      <c r="N13" s="156">
        <v>95127</v>
      </c>
      <c r="O13" s="156">
        <v>104513</v>
      </c>
      <c r="P13" s="156">
        <v>138851</v>
      </c>
      <c r="Q13" s="156">
        <v>178964</v>
      </c>
      <c r="R13" s="156">
        <v>241323</v>
      </c>
      <c r="S13" s="156">
        <v>305514</v>
      </c>
      <c r="T13" s="156">
        <v>379082</v>
      </c>
      <c r="U13" s="156">
        <v>485688</v>
      </c>
      <c r="V13" s="156">
        <v>581592</v>
      </c>
      <c r="W13" s="156">
        <v>669609</v>
      </c>
      <c r="X13" s="156">
        <v>757198</v>
      </c>
      <c r="Y13" s="156">
        <v>900998</v>
      </c>
      <c r="Z13" s="156">
        <v>1066958</v>
      </c>
      <c r="AA13" s="156">
        <v>1429124</v>
      </c>
      <c r="AB13" s="156">
        <v>1695879</v>
      </c>
      <c r="AC13" s="156">
        <v>1961139</v>
      </c>
      <c r="AD13" s="156">
        <v>2414693</v>
      </c>
      <c r="AE13" s="156">
        <v>2471344</v>
      </c>
      <c r="AF13" s="157">
        <v>2608961</v>
      </c>
      <c r="AG13" s="152">
        <f>'2. Overall cum progress June Rf'!M13</f>
        <v>2930816</v>
      </c>
    </row>
    <row r="14" spans="1:33">
      <c r="A14" s="435"/>
      <c r="B14" s="164" t="s">
        <v>16</v>
      </c>
      <c r="C14" s="165">
        <v>12050</v>
      </c>
      <c r="D14" s="165">
        <v>35196</v>
      </c>
      <c r="E14" s="165">
        <v>41143</v>
      </c>
      <c r="F14" s="165">
        <v>46764</v>
      </c>
      <c r="G14" s="165">
        <v>53500</v>
      </c>
      <c r="H14" s="165">
        <v>60961</v>
      </c>
      <c r="I14" s="165">
        <v>67160</v>
      </c>
      <c r="J14" s="165">
        <v>80278</v>
      </c>
      <c r="K14" s="165">
        <v>87814</v>
      </c>
      <c r="L14" s="165">
        <v>94969</v>
      </c>
      <c r="M14" s="165">
        <v>116317</v>
      </c>
      <c r="N14" s="165">
        <v>130075</v>
      </c>
      <c r="O14" s="165">
        <v>145747</v>
      </c>
      <c r="P14" s="165">
        <v>199749</v>
      </c>
      <c r="Q14" s="165">
        <v>263294</v>
      </c>
      <c r="R14" s="165">
        <v>347333</v>
      </c>
      <c r="S14" s="165">
        <v>451998</v>
      </c>
      <c r="T14" s="165">
        <v>556736</v>
      </c>
      <c r="U14" s="165">
        <v>714550</v>
      </c>
      <c r="V14" s="165">
        <v>851524</v>
      </c>
      <c r="W14" s="165">
        <v>980361.9</v>
      </c>
      <c r="X14" s="165">
        <v>1118615.8999999999</v>
      </c>
      <c r="Y14" s="165">
        <v>1331286.0999999999</v>
      </c>
      <c r="Z14" s="165">
        <v>1575659.9999999998</v>
      </c>
      <c r="AA14" s="165">
        <v>2084496</v>
      </c>
      <c r="AB14" s="165">
        <v>2480572</v>
      </c>
      <c r="AC14" s="165">
        <v>3303819</v>
      </c>
      <c r="AD14" s="165">
        <v>4399756</v>
      </c>
      <c r="AE14" s="165">
        <v>4743563</v>
      </c>
      <c r="AF14" s="166">
        <v>5342699</v>
      </c>
      <c r="AG14" s="152">
        <f>'2. Overall cum progress June Rf'!M14</f>
        <v>6024897</v>
      </c>
    </row>
    <row r="15" spans="1:33">
      <c r="A15" s="436" t="s">
        <v>249</v>
      </c>
      <c r="B15" s="167" t="s">
        <v>17</v>
      </c>
      <c r="C15" s="168">
        <v>0</v>
      </c>
      <c r="D15" s="156">
        <v>0.52</v>
      </c>
      <c r="E15" s="156">
        <v>1.38</v>
      </c>
      <c r="F15" s="156">
        <v>2.12</v>
      </c>
      <c r="G15" s="156">
        <v>3.3511660000000001</v>
      </c>
      <c r="H15" s="156">
        <v>4.82</v>
      </c>
      <c r="I15" s="156">
        <v>7.6400000000000006</v>
      </c>
      <c r="J15" s="156">
        <v>10.405999999999999</v>
      </c>
      <c r="K15" s="156">
        <v>13.660999999999998</v>
      </c>
      <c r="L15" s="156">
        <v>17.787599999999998</v>
      </c>
      <c r="M15" s="156">
        <v>23.410838999999996</v>
      </c>
      <c r="N15" s="156">
        <v>33.897176999999999</v>
      </c>
      <c r="O15" s="156">
        <v>50.122177000000001</v>
      </c>
      <c r="P15" s="156">
        <v>67.844358999999997</v>
      </c>
      <c r="Q15" s="156">
        <v>86.601716999999994</v>
      </c>
      <c r="R15" s="156">
        <v>113.09934699999999</v>
      </c>
      <c r="S15" s="156">
        <v>131.40386000000001</v>
      </c>
      <c r="T15" s="156">
        <v>152.436712</v>
      </c>
      <c r="U15" s="156">
        <v>187.15009699999999</v>
      </c>
      <c r="V15" s="156">
        <v>214.49246599999998</v>
      </c>
      <c r="W15" s="156">
        <v>232.68807499999997</v>
      </c>
      <c r="X15" s="156">
        <v>255.77047199999998</v>
      </c>
      <c r="Y15" s="156">
        <v>286.66726699999998</v>
      </c>
      <c r="Z15" s="156">
        <v>326.90143399999999</v>
      </c>
      <c r="AA15" s="156">
        <v>405.65</v>
      </c>
      <c r="AB15" s="156">
        <v>438.99700000000001</v>
      </c>
      <c r="AC15" s="156">
        <v>474.46</v>
      </c>
      <c r="AD15" s="156">
        <v>524.33000000000004</v>
      </c>
      <c r="AE15" s="156">
        <v>594</v>
      </c>
      <c r="AF15" s="157">
        <v>748.18999999999994</v>
      </c>
      <c r="AG15" s="152">
        <f>'2. Overall cum progress June Rf'!M15</f>
        <v>715.35420999999997</v>
      </c>
    </row>
    <row r="16" spans="1:33">
      <c r="A16" s="436"/>
      <c r="B16" s="169" t="s">
        <v>18</v>
      </c>
      <c r="C16" s="170">
        <v>0.66274999999999995</v>
      </c>
      <c r="D16" s="156">
        <v>5.87</v>
      </c>
      <c r="E16" s="156">
        <v>10.530000000000001</v>
      </c>
      <c r="F16" s="156">
        <v>17.96</v>
      </c>
      <c r="G16" s="156">
        <v>34.340000000000003</v>
      </c>
      <c r="H16" s="156">
        <v>51.33</v>
      </c>
      <c r="I16" s="156">
        <v>68.41</v>
      </c>
      <c r="J16" s="156">
        <v>86.44</v>
      </c>
      <c r="K16" s="156">
        <v>104.15009999999999</v>
      </c>
      <c r="L16" s="156">
        <v>127.39009999999999</v>
      </c>
      <c r="M16" s="156">
        <v>143.040166</v>
      </c>
      <c r="N16" s="156">
        <v>181.25131299999998</v>
      </c>
      <c r="O16" s="156">
        <v>216.154313</v>
      </c>
      <c r="P16" s="156">
        <v>261.67672499999998</v>
      </c>
      <c r="Q16" s="156">
        <v>310.013937</v>
      </c>
      <c r="R16" s="156">
        <v>365.60872499999999</v>
      </c>
      <c r="S16" s="156">
        <v>427.18954600000001</v>
      </c>
      <c r="T16" s="156">
        <v>488.12429700000001</v>
      </c>
      <c r="U16" s="156">
        <v>554.72024899999997</v>
      </c>
      <c r="V16" s="156">
        <v>628.37888399999997</v>
      </c>
      <c r="W16" s="156">
        <v>672.90471700000001</v>
      </c>
      <c r="X16" s="156">
        <v>825.46499599999993</v>
      </c>
      <c r="Y16" s="156">
        <v>916.99944399999993</v>
      </c>
      <c r="Z16" s="156">
        <v>1058.2791649999999</v>
      </c>
      <c r="AA16" s="156">
        <v>1465.1</v>
      </c>
      <c r="AB16" s="156">
        <v>1601.626</v>
      </c>
      <c r="AC16" s="156">
        <v>1656.2</v>
      </c>
      <c r="AD16" s="156">
        <v>1832.35</v>
      </c>
      <c r="AE16" s="156">
        <v>1786</v>
      </c>
      <c r="AF16" s="157">
        <v>1820.3119999999997</v>
      </c>
      <c r="AG16" s="152">
        <f>'2. Overall cum progress June Rf'!M16</f>
        <v>1911.7217749999998</v>
      </c>
    </row>
    <row r="17" spans="1:33">
      <c r="A17" s="436"/>
      <c r="B17" s="164" t="s">
        <v>16</v>
      </c>
      <c r="C17" s="171">
        <v>0.66274999999999995</v>
      </c>
      <c r="D17" s="165">
        <v>6.39</v>
      </c>
      <c r="E17" s="165">
        <v>11.91</v>
      </c>
      <c r="F17" s="165">
        <v>20.079999999999998</v>
      </c>
      <c r="G17" s="165">
        <v>37.691165999999996</v>
      </c>
      <c r="H17" s="165">
        <v>56.149999999999991</v>
      </c>
      <c r="I17" s="165">
        <v>76.049999999999983</v>
      </c>
      <c r="J17" s="165">
        <v>96.845999999999975</v>
      </c>
      <c r="K17" s="165">
        <v>117.81109999999998</v>
      </c>
      <c r="L17" s="165">
        <v>145.17769999999999</v>
      </c>
      <c r="M17" s="165">
        <v>166.45100499999998</v>
      </c>
      <c r="N17" s="165">
        <v>215.14848999999998</v>
      </c>
      <c r="O17" s="165">
        <v>266.27648999999997</v>
      </c>
      <c r="P17" s="165">
        <v>329.52108399999997</v>
      </c>
      <c r="Q17" s="165">
        <v>396.61565399999995</v>
      </c>
      <c r="R17" s="165">
        <v>478.70807199999996</v>
      </c>
      <c r="S17" s="165">
        <v>558.59340599999996</v>
      </c>
      <c r="T17" s="165">
        <v>640.5610089999999</v>
      </c>
      <c r="U17" s="165">
        <v>741.87034599999993</v>
      </c>
      <c r="V17" s="165">
        <v>842.87134999999989</v>
      </c>
      <c r="W17" s="165">
        <v>905.59279199999992</v>
      </c>
      <c r="X17" s="165">
        <v>1081.2354679999999</v>
      </c>
      <c r="Y17" s="165">
        <v>1203.6667109999999</v>
      </c>
      <c r="Z17" s="165">
        <v>1385.1805989999998</v>
      </c>
      <c r="AA17" s="165">
        <v>1870.75</v>
      </c>
      <c r="AB17" s="165">
        <v>2040.623</v>
      </c>
      <c r="AC17" s="165">
        <v>2130.66</v>
      </c>
      <c r="AD17" s="165">
        <v>2356.6799999999998</v>
      </c>
      <c r="AE17" s="165">
        <v>2380</v>
      </c>
      <c r="AF17" s="166">
        <v>2568.5019999999995</v>
      </c>
      <c r="AG17" s="152">
        <f>'2. Overall cum progress June Rf'!M17</f>
        <v>2627.0759849999995</v>
      </c>
    </row>
    <row r="18" spans="1:33">
      <c r="A18" s="435" t="s">
        <v>19</v>
      </c>
      <c r="B18" s="162" t="s">
        <v>17</v>
      </c>
      <c r="C18" s="156">
        <v>0</v>
      </c>
      <c r="D18" s="156">
        <v>0</v>
      </c>
      <c r="E18" s="156">
        <v>0</v>
      </c>
      <c r="F18" s="156">
        <v>0</v>
      </c>
      <c r="G18" s="156">
        <v>0</v>
      </c>
      <c r="H18" s="156">
        <v>0</v>
      </c>
      <c r="I18" s="156">
        <v>0</v>
      </c>
      <c r="J18" s="156">
        <v>0</v>
      </c>
      <c r="K18" s="156">
        <v>74</v>
      </c>
      <c r="L18" s="156">
        <v>1318</v>
      </c>
      <c r="M18" s="156">
        <v>1827</v>
      </c>
      <c r="N18" s="156">
        <v>3151</v>
      </c>
      <c r="O18" s="156">
        <v>4148</v>
      </c>
      <c r="P18" s="156">
        <v>7054</v>
      </c>
      <c r="Q18" s="156">
        <v>12433</v>
      </c>
      <c r="R18" s="156">
        <v>18299</v>
      </c>
      <c r="S18" s="156">
        <v>37314</v>
      </c>
      <c r="T18" s="156">
        <v>58049</v>
      </c>
      <c r="U18" s="156">
        <v>78085</v>
      </c>
      <c r="V18" s="156">
        <v>115299</v>
      </c>
      <c r="W18" s="156">
        <v>153450</v>
      </c>
      <c r="X18" s="156">
        <v>186001</v>
      </c>
      <c r="Y18" s="156">
        <v>225465</v>
      </c>
      <c r="Z18" s="156">
        <v>258380</v>
      </c>
      <c r="AA18" s="156">
        <v>336167</v>
      </c>
      <c r="AB18" s="156">
        <v>398314</v>
      </c>
      <c r="AC18" s="156">
        <v>532151</v>
      </c>
      <c r="AD18" s="156">
        <v>1184804</v>
      </c>
      <c r="AE18" s="156">
        <v>1311885</v>
      </c>
      <c r="AF18" s="157">
        <v>1635674</v>
      </c>
      <c r="AG18" s="152">
        <f>'2. Overall cum progress June Rf'!M18</f>
        <v>2081273</v>
      </c>
    </row>
    <row r="19" spans="1:33">
      <c r="A19" s="435"/>
      <c r="B19" s="163" t="s">
        <v>18</v>
      </c>
      <c r="C19" s="156">
        <v>91</v>
      </c>
      <c r="D19" s="156">
        <v>270</v>
      </c>
      <c r="E19" s="156">
        <v>656</v>
      </c>
      <c r="F19" s="156">
        <v>889</v>
      </c>
      <c r="G19" s="156">
        <v>1293</v>
      </c>
      <c r="H19" s="156">
        <v>2063</v>
      </c>
      <c r="I19" s="156">
        <v>2656</v>
      </c>
      <c r="J19" s="156">
        <v>3830</v>
      </c>
      <c r="K19" s="156">
        <v>5121</v>
      </c>
      <c r="L19" s="156">
        <v>9601</v>
      </c>
      <c r="M19" s="156">
        <v>11806</v>
      </c>
      <c r="N19" s="156">
        <v>18382</v>
      </c>
      <c r="O19" s="156">
        <v>20292</v>
      </c>
      <c r="P19" s="156">
        <v>29950</v>
      </c>
      <c r="Q19" s="156">
        <v>38952</v>
      </c>
      <c r="R19" s="156">
        <v>56004</v>
      </c>
      <c r="S19" s="156">
        <v>100591</v>
      </c>
      <c r="T19" s="156">
        <v>156362</v>
      </c>
      <c r="U19" s="156">
        <v>200200</v>
      </c>
      <c r="V19" s="156">
        <v>253956</v>
      </c>
      <c r="W19" s="156">
        <v>309666</v>
      </c>
      <c r="X19" s="156">
        <v>357100</v>
      </c>
      <c r="Y19" s="156">
        <v>422745</v>
      </c>
      <c r="Z19" s="156">
        <v>486118</v>
      </c>
      <c r="AA19" s="156">
        <v>611277</v>
      </c>
      <c r="AB19" s="156">
        <v>698089</v>
      </c>
      <c r="AC19" s="156">
        <v>788342</v>
      </c>
      <c r="AD19" s="156">
        <v>1306092</v>
      </c>
      <c r="AE19" s="156">
        <v>1347469</v>
      </c>
      <c r="AF19" s="157">
        <v>1517653</v>
      </c>
      <c r="AG19" s="152">
        <f>'2. Overall cum progress June Rf'!M19</f>
        <v>1853002</v>
      </c>
    </row>
    <row r="20" spans="1:33">
      <c r="A20" s="435"/>
      <c r="B20" s="164" t="s">
        <v>16</v>
      </c>
      <c r="C20" s="165">
        <v>91</v>
      </c>
      <c r="D20" s="165">
        <v>270</v>
      </c>
      <c r="E20" s="165">
        <v>656</v>
      </c>
      <c r="F20" s="165">
        <v>889</v>
      </c>
      <c r="G20" s="165">
        <v>1293</v>
      </c>
      <c r="H20" s="165">
        <v>2063</v>
      </c>
      <c r="I20" s="165">
        <v>2656</v>
      </c>
      <c r="J20" s="165">
        <v>3830</v>
      </c>
      <c r="K20" s="165">
        <v>5195</v>
      </c>
      <c r="L20" s="165">
        <v>10919</v>
      </c>
      <c r="M20" s="165">
        <v>13633</v>
      </c>
      <c r="N20" s="165">
        <v>21533</v>
      </c>
      <c r="O20" s="165">
        <v>24440</v>
      </c>
      <c r="P20" s="165">
        <v>37004</v>
      </c>
      <c r="Q20" s="165">
        <v>51385</v>
      </c>
      <c r="R20" s="165">
        <v>74303</v>
      </c>
      <c r="S20" s="165">
        <v>137905</v>
      </c>
      <c r="T20" s="165">
        <v>214411</v>
      </c>
      <c r="U20" s="165">
        <v>278285</v>
      </c>
      <c r="V20" s="165">
        <v>369255</v>
      </c>
      <c r="W20" s="165">
        <v>463116</v>
      </c>
      <c r="X20" s="165">
        <v>543101</v>
      </c>
      <c r="Y20" s="165">
        <v>648210</v>
      </c>
      <c r="Z20" s="165">
        <v>744498</v>
      </c>
      <c r="AA20" s="165">
        <v>947444</v>
      </c>
      <c r="AB20" s="165">
        <v>1096403</v>
      </c>
      <c r="AC20" s="165">
        <v>1320493</v>
      </c>
      <c r="AD20" s="165">
        <v>2490896</v>
      </c>
      <c r="AE20" s="165">
        <v>2659354</v>
      </c>
      <c r="AF20" s="166">
        <v>3153327</v>
      </c>
      <c r="AG20" s="152">
        <f>'2. Overall cum progress June Rf'!M20</f>
        <v>3934275</v>
      </c>
    </row>
    <row r="21" spans="1:33">
      <c r="A21" s="439" t="s">
        <v>205</v>
      </c>
      <c r="B21" s="172" t="s">
        <v>295</v>
      </c>
      <c r="C21" s="173">
        <v>0</v>
      </c>
      <c r="D21" s="173">
        <v>0</v>
      </c>
      <c r="E21" s="173">
        <v>0</v>
      </c>
      <c r="F21" s="173">
        <v>0</v>
      </c>
      <c r="G21" s="173">
        <v>0</v>
      </c>
      <c r="H21" s="173">
        <v>0</v>
      </c>
      <c r="I21" s="173">
        <v>0</v>
      </c>
      <c r="J21" s="173">
        <v>0</v>
      </c>
      <c r="K21" s="173">
        <v>0</v>
      </c>
      <c r="L21" s="173">
        <v>0</v>
      </c>
      <c r="M21" s="173">
        <v>0</v>
      </c>
      <c r="N21" s="173">
        <v>0</v>
      </c>
      <c r="O21" s="173">
        <v>0</v>
      </c>
      <c r="P21" s="173">
        <v>0</v>
      </c>
      <c r="Q21" s="173">
        <v>0</v>
      </c>
      <c r="R21" s="173">
        <v>0</v>
      </c>
      <c r="S21" s="173">
        <v>0</v>
      </c>
      <c r="T21" s="173">
        <v>0</v>
      </c>
      <c r="U21" s="173">
        <v>0</v>
      </c>
      <c r="V21" s="173">
        <v>0</v>
      </c>
      <c r="W21" s="173">
        <v>0</v>
      </c>
      <c r="X21" s="173">
        <v>0</v>
      </c>
      <c r="Y21" s="173">
        <v>0</v>
      </c>
      <c r="Z21" s="173">
        <v>0</v>
      </c>
      <c r="AA21" s="173">
        <v>0</v>
      </c>
      <c r="AB21" s="173">
        <v>0</v>
      </c>
      <c r="AC21" s="173">
        <v>0</v>
      </c>
      <c r="AD21" s="173">
        <v>0</v>
      </c>
      <c r="AE21" s="173">
        <v>179</v>
      </c>
      <c r="AF21" s="157">
        <v>236</v>
      </c>
      <c r="AG21" s="152">
        <f>'2. Overall cum progress June Rf'!M21</f>
        <v>277</v>
      </c>
    </row>
    <row r="22" spans="1:33">
      <c r="A22" s="440"/>
      <c r="B22" s="163" t="s">
        <v>296</v>
      </c>
      <c r="C22" s="173">
        <v>0</v>
      </c>
      <c r="D22" s="173">
        <v>0</v>
      </c>
      <c r="E22" s="173">
        <v>0</v>
      </c>
      <c r="F22" s="173">
        <v>0</v>
      </c>
      <c r="G22" s="173">
        <v>0</v>
      </c>
      <c r="H22" s="173">
        <v>0</v>
      </c>
      <c r="I22" s="173">
        <v>0</v>
      </c>
      <c r="J22" s="173">
        <v>0</v>
      </c>
      <c r="K22" s="173">
        <v>0</v>
      </c>
      <c r="L22" s="173">
        <v>0</v>
      </c>
      <c r="M22" s="173">
        <v>0</v>
      </c>
      <c r="N22" s="173">
        <v>0</v>
      </c>
      <c r="O22" s="173">
        <v>0</v>
      </c>
      <c r="P22" s="173">
        <v>0</v>
      </c>
      <c r="Q22" s="173">
        <v>0</v>
      </c>
      <c r="R22" s="173">
        <v>0</v>
      </c>
      <c r="S22" s="173">
        <v>0</v>
      </c>
      <c r="T22" s="173">
        <v>0</v>
      </c>
      <c r="U22" s="173">
        <v>0</v>
      </c>
      <c r="V22" s="173">
        <v>0</v>
      </c>
      <c r="W22" s="173">
        <v>0</v>
      </c>
      <c r="X22" s="173">
        <v>0</v>
      </c>
      <c r="Y22" s="173">
        <v>0</v>
      </c>
      <c r="Z22" s="173">
        <v>0</v>
      </c>
      <c r="AA22" s="173">
        <v>0</v>
      </c>
      <c r="AB22" s="173">
        <v>0</v>
      </c>
      <c r="AC22" s="173">
        <v>0</v>
      </c>
      <c r="AD22" s="173">
        <v>0</v>
      </c>
      <c r="AE22" s="173">
        <v>3594</v>
      </c>
      <c r="AF22" s="157">
        <v>5167</v>
      </c>
      <c r="AG22" s="152">
        <f>'2. Overall cum progress June Rf'!M22</f>
        <v>5398</v>
      </c>
    </row>
    <row r="23" spans="1:33">
      <c r="A23" s="440"/>
      <c r="B23" s="163" t="s">
        <v>297</v>
      </c>
      <c r="C23" s="173">
        <v>0</v>
      </c>
      <c r="D23" s="173">
        <v>0</v>
      </c>
      <c r="E23" s="173">
        <v>0</v>
      </c>
      <c r="F23" s="173">
        <v>0</v>
      </c>
      <c r="G23" s="173">
        <v>0</v>
      </c>
      <c r="H23" s="173">
        <v>0</v>
      </c>
      <c r="I23" s="173">
        <v>0</v>
      </c>
      <c r="J23" s="173">
        <v>0</v>
      </c>
      <c r="K23" s="173">
        <v>0</v>
      </c>
      <c r="L23" s="173">
        <v>0</v>
      </c>
      <c r="M23" s="173">
        <v>0</v>
      </c>
      <c r="N23" s="173">
        <v>0</v>
      </c>
      <c r="O23" s="173">
        <v>0</v>
      </c>
      <c r="P23" s="173">
        <v>0</v>
      </c>
      <c r="Q23" s="173">
        <v>0</v>
      </c>
      <c r="R23" s="173">
        <v>0</v>
      </c>
      <c r="S23" s="173">
        <v>0</v>
      </c>
      <c r="T23" s="173">
        <v>0</v>
      </c>
      <c r="U23" s="173">
        <v>0</v>
      </c>
      <c r="V23" s="173">
        <v>0</v>
      </c>
      <c r="W23" s="173">
        <v>0</v>
      </c>
      <c r="X23" s="173">
        <v>0</v>
      </c>
      <c r="Y23" s="173">
        <v>0</v>
      </c>
      <c r="Z23" s="173">
        <v>0</v>
      </c>
      <c r="AA23" s="173">
        <v>0</v>
      </c>
      <c r="AB23" s="173">
        <v>0</v>
      </c>
      <c r="AC23" s="173">
        <v>0</v>
      </c>
      <c r="AD23" s="173">
        <v>0</v>
      </c>
      <c r="AE23" s="173">
        <v>110069</v>
      </c>
      <c r="AF23" s="157">
        <v>152829</v>
      </c>
      <c r="AG23" s="152">
        <f>'2. Overall cum progress June Rf'!M23</f>
        <v>197908</v>
      </c>
    </row>
    <row r="24" spans="1:33" ht="29.25">
      <c r="A24" s="441"/>
      <c r="B24" s="163" t="s">
        <v>250</v>
      </c>
      <c r="C24" s="173">
        <v>0</v>
      </c>
      <c r="D24" s="173">
        <v>0</v>
      </c>
      <c r="E24" s="173">
        <v>0</v>
      </c>
      <c r="F24" s="173">
        <v>0</v>
      </c>
      <c r="G24" s="173">
        <v>0</v>
      </c>
      <c r="H24" s="173">
        <v>0</v>
      </c>
      <c r="I24" s="173">
        <v>0</v>
      </c>
      <c r="J24" s="173">
        <v>0</v>
      </c>
      <c r="K24" s="173">
        <v>0</v>
      </c>
      <c r="L24" s="173">
        <v>0</v>
      </c>
      <c r="M24" s="173">
        <v>0</v>
      </c>
      <c r="N24" s="173">
        <v>0</v>
      </c>
      <c r="O24" s="173">
        <v>0</v>
      </c>
      <c r="P24" s="173">
        <v>0</v>
      </c>
      <c r="Q24" s="173">
        <v>0</v>
      </c>
      <c r="R24" s="173">
        <v>0</v>
      </c>
      <c r="S24" s="173">
        <v>0</v>
      </c>
      <c r="T24" s="173">
        <v>0</v>
      </c>
      <c r="U24" s="173">
        <v>0</v>
      </c>
      <c r="V24" s="173">
        <v>0</v>
      </c>
      <c r="W24" s="173">
        <v>0</v>
      </c>
      <c r="X24" s="173">
        <v>0</v>
      </c>
      <c r="Y24" s="173">
        <v>0</v>
      </c>
      <c r="Z24" s="173">
        <v>0</v>
      </c>
      <c r="AA24" s="173">
        <v>0</v>
      </c>
      <c r="AB24" s="173">
        <v>0</v>
      </c>
      <c r="AC24" s="173">
        <v>0</v>
      </c>
      <c r="AD24" s="173">
        <v>0</v>
      </c>
      <c r="AE24" s="173">
        <v>1106</v>
      </c>
      <c r="AF24" s="174">
        <v>1652.9050830000001</v>
      </c>
      <c r="AG24" s="152">
        <f>'2. Overall cum progress June Rf'!M24</f>
        <v>2148.3455829999998</v>
      </c>
    </row>
    <row r="25" spans="1:33">
      <c r="A25" s="436" t="s">
        <v>20</v>
      </c>
      <c r="B25" s="167" t="s">
        <v>17</v>
      </c>
      <c r="C25" s="170">
        <v>0</v>
      </c>
      <c r="D25" s="156">
        <v>0</v>
      </c>
      <c r="E25" s="156">
        <v>0</v>
      </c>
      <c r="F25" s="156">
        <v>0</v>
      </c>
      <c r="G25" s="156">
        <v>0.72933599999999998</v>
      </c>
      <c r="H25" s="156">
        <v>2.6786989999999999</v>
      </c>
      <c r="I25" s="156">
        <v>3.9</v>
      </c>
      <c r="J25" s="156">
        <v>6.08</v>
      </c>
      <c r="K25" s="156">
        <v>8.0981000000000005</v>
      </c>
      <c r="L25" s="156">
        <v>11.086100000000002</v>
      </c>
      <c r="M25" s="156">
        <v>16.658100000000001</v>
      </c>
      <c r="N25" s="156">
        <v>27.8354</v>
      </c>
      <c r="O25" s="156">
        <v>51.955740000000006</v>
      </c>
      <c r="P25" s="156">
        <v>89.685465000000008</v>
      </c>
      <c r="Q25" s="156">
        <v>171.398079</v>
      </c>
      <c r="R25" s="156">
        <v>257.79349400000001</v>
      </c>
      <c r="S25" s="156">
        <v>393.65334400000006</v>
      </c>
      <c r="T25" s="156">
        <v>593.8265100000001</v>
      </c>
      <c r="U25" s="156">
        <v>837.80627000000004</v>
      </c>
      <c r="V25" s="156">
        <v>1129.6137100000001</v>
      </c>
      <c r="W25" s="156">
        <v>1564.6495610000002</v>
      </c>
      <c r="X25" s="156">
        <v>2141.8754820000004</v>
      </c>
      <c r="Y25" s="156">
        <v>2963.9566730000006</v>
      </c>
      <c r="Z25" s="156">
        <v>4199.2255530000002</v>
      </c>
      <c r="AA25" s="156">
        <v>8062.3</v>
      </c>
      <c r="AB25" s="156">
        <v>12289.19</v>
      </c>
      <c r="AC25" s="156">
        <v>16292.39</v>
      </c>
      <c r="AD25" s="156">
        <v>18466.13</v>
      </c>
      <c r="AE25" s="156">
        <v>26846</v>
      </c>
      <c r="AF25" s="157">
        <v>34781.01571</v>
      </c>
      <c r="AG25" s="152">
        <f>'2. Overall cum progress June Rf'!M25</f>
        <v>52556.471209999996</v>
      </c>
    </row>
    <row r="26" spans="1:33">
      <c r="A26" s="436"/>
      <c r="B26" s="169" t="s">
        <v>18</v>
      </c>
      <c r="C26" s="170">
        <v>0.71</v>
      </c>
      <c r="D26" s="156">
        <v>3.52</v>
      </c>
      <c r="E26" s="156">
        <v>8.57</v>
      </c>
      <c r="F26" s="156">
        <v>24.75</v>
      </c>
      <c r="G26" s="156">
        <v>50.017663999999996</v>
      </c>
      <c r="H26" s="156">
        <v>82.621300999999988</v>
      </c>
      <c r="I26" s="156">
        <v>111.5</v>
      </c>
      <c r="J26" s="156">
        <v>123.37</v>
      </c>
      <c r="K26" s="156">
        <v>132.99956500000002</v>
      </c>
      <c r="L26" s="156">
        <v>144.87455300000002</v>
      </c>
      <c r="M26" s="156">
        <v>153.21655300000003</v>
      </c>
      <c r="N26" s="156">
        <v>328.99442700000003</v>
      </c>
      <c r="O26" s="156">
        <v>441.10692700000004</v>
      </c>
      <c r="P26" s="156">
        <v>619.586547</v>
      </c>
      <c r="Q26" s="156">
        <v>941.10618299999999</v>
      </c>
      <c r="R26" s="156">
        <v>1624.0987719999998</v>
      </c>
      <c r="S26" s="156">
        <v>2801.8091079999999</v>
      </c>
      <c r="T26" s="156">
        <v>3773.813615</v>
      </c>
      <c r="U26" s="156">
        <v>4692.3594059999996</v>
      </c>
      <c r="V26" s="156">
        <v>5493.9082699999999</v>
      </c>
      <c r="W26" s="156">
        <v>6546.9565199999997</v>
      </c>
      <c r="X26" s="156">
        <v>8081.4465309999996</v>
      </c>
      <c r="Y26" s="156">
        <v>9857.6422309999998</v>
      </c>
      <c r="Z26" s="156">
        <v>12699.101413</v>
      </c>
      <c r="AA26" s="156">
        <v>19795.93</v>
      </c>
      <c r="AB26" s="156">
        <v>28557.16</v>
      </c>
      <c r="AC26" s="156">
        <v>35616.32</v>
      </c>
      <c r="AD26" s="156">
        <v>43669.73</v>
      </c>
      <c r="AE26" s="156">
        <v>46277</v>
      </c>
      <c r="AF26" s="157">
        <v>50357.762002000003</v>
      </c>
      <c r="AG26" s="152">
        <f>'2. Overall cum progress June Rf'!M26</f>
        <v>59110.247201999999</v>
      </c>
    </row>
    <row r="27" spans="1:33">
      <c r="A27" s="436"/>
      <c r="B27" s="164" t="s">
        <v>16</v>
      </c>
      <c r="C27" s="171">
        <v>0.71</v>
      </c>
      <c r="D27" s="165">
        <v>3.52</v>
      </c>
      <c r="E27" s="165">
        <v>8.57</v>
      </c>
      <c r="F27" s="165">
        <v>24.75</v>
      </c>
      <c r="G27" s="165">
        <v>50.747</v>
      </c>
      <c r="H27" s="165">
        <v>85.3</v>
      </c>
      <c r="I27" s="165">
        <v>115.4</v>
      </c>
      <c r="J27" s="165">
        <v>129.45000000000002</v>
      </c>
      <c r="K27" s="165">
        <v>141.09766500000001</v>
      </c>
      <c r="L27" s="165">
        <v>155.96065300000001</v>
      </c>
      <c r="M27" s="165">
        <v>169.87465300000002</v>
      </c>
      <c r="N27" s="165">
        <v>356.82982700000002</v>
      </c>
      <c r="O27" s="165">
        <v>493.06266700000003</v>
      </c>
      <c r="P27" s="165">
        <v>709.27201200000002</v>
      </c>
      <c r="Q27" s="165">
        <v>1112.5042619999999</v>
      </c>
      <c r="R27" s="165">
        <v>1881.8922659999998</v>
      </c>
      <c r="S27" s="165">
        <v>3195.4624519999998</v>
      </c>
      <c r="T27" s="165">
        <v>4367.6401249999999</v>
      </c>
      <c r="U27" s="165">
        <v>5530.1656759999996</v>
      </c>
      <c r="V27" s="165">
        <v>6623.5219799999995</v>
      </c>
      <c r="W27" s="165">
        <v>8111.6060809999999</v>
      </c>
      <c r="X27" s="165">
        <v>10223.322013000001</v>
      </c>
      <c r="Y27" s="165">
        <v>12821.598904</v>
      </c>
      <c r="Z27" s="165">
        <v>16898.326966000001</v>
      </c>
      <c r="AA27" s="165">
        <v>27858.23</v>
      </c>
      <c r="AB27" s="165">
        <v>40846.35</v>
      </c>
      <c r="AC27" s="165">
        <v>51908.72</v>
      </c>
      <c r="AD27" s="165">
        <v>62135.86</v>
      </c>
      <c r="AE27" s="165">
        <v>73123</v>
      </c>
      <c r="AF27" s="166">
        <v>85138.77771200001</v>
      </c>
      <c r="AG27" s="152">
        <f>'2. Overall cum progress June Rf'!M27</f>
        <v>111666.71841199999</v>
      </c>
    </row>
    <row r="28" spans="1:33">
      <c r="A28" s="436" t="s">
        <v>251</v>
      </c>
      <c r="B28" s="169" t="s">
        <v>252</v>
      </c>
      <c r="C28" s="175">
        <v>0</v>
      </c>
      <c r="D28" s="173">
        <v>0</v>
      </c>
      <c r="E28" s="173">
        <v>0</v>
      </c>
      <c r="F28" s="173">
        <v>0</v>
      </c>
      <c r="G28" s="173">
        <v>0</v>
      </c>
      <c r="H28" s="173">
        <v>0</v>
      </c>
      <c r="I28" s="173">
        <v>0</v>
      </c>
      <c r="J28" s="173">
        <v>0</v>
      </c>
      <c r="K28" s="173">
        <v>0</v>
      </c>
      <c r="L28" s="173">
        <v>0</v>
      </c>
      <c r="M28" s="173">
        <v>0</v>
      </c>
      <c r="N28" s="173">
        <v>0</v>
      </c>
      <c r="O28" s="173">
        <v>0</v>
      </c>
      <c r="P28" s="173">
        <v>0</v>
      </c>
      <c r="Q28" s="173">
        <v>0</v>
      </c>
      <c r="R28" s="173">
        <v>0</v>
      </c>
      <c r="S28" s="173">
        <v>0</v>
      </c>
      <c r="T28" s="173">
        <v>0</v>
      </c>
      <c r="U28" s="173">
        <v>0</v>
      </c>
      <c r="V28" s="173">
        <v>0</v>
      </c>
      <c r="W28" s="173">
        <v>0</v>
      </c>
      <c r="X28" s="173">
        <v>0</v>
      </c>
      <c r="Y28" s="173">
        <v>0</v>
      </c>
      <c r="Z28" s="173">
        <v>0</v>
      </c>
      <c r="AA28" s="173">
        <v>764432</v>
      </c>
      <c r="AB28" s="173">
        <v>1058568</v>
      </c>
      <c r="AC28" s="173">
        <v>1349181</v>
      </c>
      <c r="AD28" s="173">
        <v>1680779.44</v>
      </c>
      <c r="AE28" s="173">
        <v>2068408</v>
      </c>
      <c r="AF28" s="157">
        <v>2520327.44</v>
      </c>
      <c r="AG28" s="152">
        <f>'2. Overall cum progress June Rf'!M28</f>
        <v>3421743</v>
      </c>
    </row>
    <row r="29" spans="1:33">
      <c r="A29" s="436"/>
      <c r="B29" s="169" t="s">
        <v>253</v>
      </c>
      <c r="C29" s="175">
        <v>0</v>
      </c>
      <c r="D29" s="173">
        <v>0</v>
      </c>
      <c r="E29" s="173"/>
      <c r="F29" s="173">
        <v>0</v>
      </c>
      <c r="G29" s="173">
        <v>0</v>
      </c>
      <c r="H29" s="173">
        <v>0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0</v>
      </c>
      <c r="P29" s="173">
        <v>0</v>
      </c>
      <c r="Q29" s="173">
        <v>0</v>
      </c>
      <c r="R29" s="173">
        <v>0</v>
      </c>
      <c r="S29" s="173">
        <v>0</v>
      </c>
      <c r="T29" s="173">
        <v>0</v>
      </c>
      <c r="U29" s="173">
        <v>0</v>
      </c>
      <c r="V29" s="173">
        <v>0</v>
      </c>
      <c r="W29" s="173">
        <v>0</v>
      </c>
      <c r="X29" s="173">
        <v>0</v>
      </c>
      <c r="Y29" s="173">
        <v>0</v>
      </c>
      <c r="Z29" s="173">
        <v>0</v>
      </c>
      <c r="AA29" s="173">
        <v>1930568</v>
      </c>
      <c r="AB29" s="173">
        <v>2457015</v>
      </c>
      <c r="AC29" s="173">
        <v>2894800</v>
      </c>
      <c r="AD29" s="173">
        <v>3374000.56</v>
      </c>
      <c r="AE29" s="173">
        <v>3403007</v>
      </c>
      <c r="AF29" s="157">
        <v>3593574.56</v>
      </c>
      <c r="AG29" s="152">
        <f>'2. Overall cum progress June Rf'!M29</f>
        <v>3959857</v>
      </c>
    </row>
    <row r="30" spans="1:33">
      <c r="A30" s="436"/>
      <c r="B30" s="164" t="s">
        <v>16</v>
      </c>
      <c r="C30" s="176">
        <v>0</v>
      </c>
      <c r="D30" s="165">
        <v>0</v>
      </c>
      <c r="E30" s="165">
        <v>0</v>
      </c>
      <c r="F30" s="165">
        <v>0</v>
      </c>
      <c r="G30" s="165">
        <v>0</v>
      </c>
      <c r="H30" s="165">
        <v>0</v>
      </c>
      <c r="I30" s="165">
        <v>0</v>
      </c>
      <c r="J30" s="165">
        <v>0</v>
      </c>
      <c r="K30" s="165">
        <v>0</v>
      </c>
      <c r="L30" s="165">
        <v>0</v>
      </c>
      <c r="M30" s="165">
        <v>0</v>
      </c>
      <c r="N30" s="165">
        <v>0</v>
      </c>
      <c r="O30" s="165">
        <v>0</v>
      </c>
      <c r="P30" s="165">
        <v>0</v>
      </c>
      <c r="Q30" s="165">
        <v>0</v>
      </c>
      <c r="R30" s="165">
        <v>0</v>
      </c>
      <c r="S30" s="165">
        <v>0</v>
      </c>
      <c r="T30" s="165">
        <v>0</v>
      </c>
      <c r="U30" s="165">
        <v>0</v>
      </c>
      <c r="V30" s="165">
        <v>0</v>
      </c>
      <c r="W30" s="165">
        <v>0</v>
      </c>
      <c r="X30" s="165">
        <v>0</v>
      </c>
      <c r="Y30" s="165">
        <v>0</v>
      </c>
      <c r="Z30" s="165">
        <v>0</v>
      </c>
      <c r="AA30" s="165">
        <v>2695000</v>
      </c>
      <c r="AB30" s="165">
        <v>3515583</v>
      </c>
      <c r="AC30" s="177" t="s">
        <v>254</v>
      </c>
      <c r="AD30" s="165">
        <v>4954780</v>
      </c>
      <c r="AE30" s="165">
        <v>5471415</v>
      </c>
      <c r="AF30" s="166">
        <v>6113902</v>
      </c>
      <c r="AG30" s="152">
        <f>'2. Overall cum progress June Rf'!M30</f>
        <v>7381600</v>
      </c>
    </row>
    <row r="31" spans="1:33">
      <c r="A31" s="435" t="s">
        <v>303</v>
      </c>
      <c r="B31" s="162" t="s">
        <v>17</v>
      </c>
      <c r="C31" s="156">
        <v>0</v>
      </c>
      <c r="D31" s="156">
        <v>0</v>
      </c>
      <c r="E31" s="156">
        <v>0</v>
      </c>
      <c r="F31" s="156">
        <v>0</v>
      </c>
      <c r="G31" s="156">
        <v>0</v>
      </c>
      <c r="H31" s="156">
        <v>0</v>
      </c>
      <c r="I31" s="156">
        <v>0</v>
      </c>
      <c r="J31" s="156">
        <v>0</v>
      </c>
      <c r="K31" s="156">
        <v>0</v>
      </c>
      <c r="L31" s="156">
        <v>0</v>
      </c>
      <c r="M31" s="156">
        <v>0</v>
      </c>
      <c r="N31" s="156">
        <v>0</v>
      </c>
      <c r="O31" s="156">
        <v>0</v>
      </c>
      <c r="P31" s="156">
        <v>0</v>
      </c>
      <c r="Q31" s="156">
        <v>0</v>
      </c>
      <c r="R31" s="156">
        <v>0</v>
      </c>
      <c r="S31" s="156">
        <v>0</v>
      </c>
      <c r="T31" s="156">
        <v>0</v>
      </c>
      <c r="U31" s="156">
        <v>0</v>
      </c>
      <c r="V31" s="156">
        <v>0</v>
      </c>
      <c r="W31" s="156">
        <v>0</v>
      </c>
      <c r="X31" s="156">
        <v>0</v>
      </c>
      <c r="Y31" s="156">
        <v>0</v>
      </c>
      <c r="Z31" s="156">
        <v>42078</v>
      </c>
      <c r="AA31" s="156">
        <v>121835</v>
      </c>
      <c r="AB31" s="156">
        <v>326617</v>
      </c>
      <c r="AC31" s="156">
        <v>1057470</v>
      </c>
      <c r="AD31" s="156">
        <v>1592331</v>
      </c>
      <c r="AE31" s="156">
        <v>2068408</v>
      </c>
      <c r="AF31" s="157">
        <v>971319.44</v>
      </c>
      <c r="AG31" s="152">
        <f>'2. Overall cum progress June Rf'!M31</f>
        <v>1323648</v>
      </c>
    </row>
    <row r="32" spans="1:33">
      <c r="A32" s="435"/>
      <c r="B32" s="163" t="s">
        <v>18</v>
      </c>
      <c r="C32" s="156">
        <v>0</v>
      </c>
      <c r="D32" s="156">
        <v>0</v>
      </c>
      <c r="E32" s="156">
        <v>0</v>
      </c>
      <c r="F32" s="156">
        <v>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V32" s="156">
        <v>0</v>
      </c>
      <c r="W32" s="156">
        <v>0</v>
      </c>
      <c r="X32" s="156">
        <v>0</v>
      </c>
      <c r="Y32" s="156">
        <v>0</v>
      </c>
      <c r="Z32" s="156">
        <v>121409</v>
      </c>
      <c r="AA32" s="156">
        <v>344939</v>
      </c>
      <c r="AB32" s="156">
        <v>1016890</v>
      </c>
      <c r="AC32" s="156">
        <v>1629375</v>
      </c>
      <c r="AD32" s="156">
        <v>2450815</v>
      </c>
      <c r="AE32" s="156">
        <v>3403007</v>
      </c>
      <c r="AF32" s="157">
        <v>2529821.56</v>
      </c>
      <c r="AG32" s="152">
        <f>'2. Overall cum progress June Rf'!M32</f>
        <v>2749450</v>
      </c>
    </row>
    <row r="33" spans="1:33">
      <c r="A33" s="435"/>
      <c r="B33" s="164" t="s">
        <v>16</v>
      </c>
      <c r="C33" s="165">
        <v>0</v>
      </c>
      <c r="D33" s="165">
        <v>0</v>
      </c>
      <c r="E33" s="165">
        <v>0</v>
      </c>
      <c r="F33" s="165">
        <v>0</v>
      </c>
      <c r="G33" s="165">
        <v>0</v>
      </c>
      <c r="H33" s="165">
        <v>0</v>
      </c>
      <c r="I33" s="165">
        <v>0</v>
      </c>
      <c r="J33" s="165">
        <v>0</v>
      </c>
      <c r="K33" s="165">
        <v>0</v>
      </c>
      <c r="L33" s="165">
        <v>0</v>
      </c>
      <c r="M33" s="165">
        <v>0</v>
      </c>
      <c r="N33" s="165">
        <v>0</v>
      </c>
      <c r="O33" s="165">
        <v>0</v>
      </c>
      <c r="P33" s="165">
        <v>0</v>
      </c>
      <c r="Q33" s="165">
        <v>0</v>
      </c>
      <c r="R33" s="165">
        <v>0</v>
      </c>
      <c r="S33" s="165">
        <v>0</v>
      </c>
      <c r="T33" s="165">
        <v>0</v>
      </c>
      <c r="U33" s="165">
        <v>0</v>
      </c>
      <c r="V33" s="165">
        <v>0</v>
      </c>
      <c r="W33" s="165">
        <v>0</v>
      </c>
      <c r="X33" s="165">
        <v>0</v>
      </c>
      <c r="Y33" s="165">
        <v>0</v>
      </c>
      <c r="Z33" s="165">
        <v>163487</v>
      </c>
      <c r="AA33" s="165">
        <v>466774</v>
      </c>
      <c r="AB33" s="165">
        <v>1343507</v>
      </c>
      <c r="AC33" s="165">
        <v>2686845</v>
      </c>
      <c r="AD33" s="165">
        <v>4043146</v>
      </c>
      <c r="AE33" s="165">
        <v>5471415</v>
      </c>
      <c r="AF33" s="166">
        <v>3501141</v>
      </c>
      <c r="AG33" s="152">
        <f>'2. Overall cum progress June Rf'!M33</f>
        <v>4073098</v>
      </c>
    </row>
    <row r="34" spans="1:33">
      <c r="A34" s="437" t="s">
        <v>304</v>
      </c>
      <c r="B34" s="437"/>
      <c r="C34" s="178">
        <v>80</v>
      </c>
      <c r="D34" s="156">
        <v>229</v>
      </c>
      <c r="E34" s="156">
        <v>328</v>
      </c>
      <c r="F34" s="156">
        <v>421</v>
      </c>
      <c r="G34" s="156">
        <v>585</v>
      </c>
      <c r="H34" s="156">
        <v>770</v>
      </c>
      <c r="I34" s="156">
        <v>912</v>
      </c>
      <c r="J34" s="156">
        <v>1077</v>
      </c>
      <c r="K34" s="156">
        <v>1244</v>
      </c>
      <c r="L34" s="156">
        <v>1387</v>
      </c>
      <c r="M34" s="156">
        <v>1499</v>
      </c>
      <c r="N34" s="156">
        <v>1623</v>
      </c>
      <c r="O34" s="156">
        <v>1830</v>
      </c>
      <c r="P34" s="156">
        <v>2376</v>
      </c>
      <c r="Q34" s="156">
        <v>2882</v>
      </c>
      <c r="R34" s="156">
        <v>3612</v>
      </c>
      <c r="S34" s="156">
        <v>6078</v>
      </c>
      <c r="T34" s="156">
        <v>9630</v>
      </c>
      <c r="U34" s="156">
        <v>11998</v>
      </c>
      <c r="V34" s="156">
        <v>18053</v>
      </c>
      <c r="W34" s="156">
        <v>29325</v>
      </c>
      <c r="X34" s="156">
        <v>43505</v>
      </c>
      <c r="Y34" s="156">
        <v>55524</v>
      </c>
      <c r="Z34" s="156">
        <v>64889</v>
      </c>
      <c r="AA34" s="156">
        <v>74731</v>
      </c>
      <c r="AB34" s="156">
        <v>79726</v>
      </c>
      <c r="AC34" s="156">
        <v>84601</v>
      </c>
      <c r="AD34" s="156">
        <v>92686</v>
      </c>
      <c r="AE34" s="156">
        <v>130829</v>
      </c>
      <c r="AF34" s="157">
        <v>140993</v>
      </c>
      <c r="AG34" s="152">
        <f>'2. Overall cum progress June Rf'!M38</f>
        <v>150539</v>
      </c>
    </row>
    <row r="35" spans="1:33">
      <c r="A35" s="437" t="s">
        <v>255</v>
      </c>
      <c r="B35" s="437"/>
      <c r="C35" s="168">
        <v>9300</v>
      </c>
      <c r="D35" s="156">
        <v>22980</v>
      </c>
      <c r="E35" s="156">
        <v>27838</v>
      </c>
      <c r="F35" s="156">
        <v>32566</v>
      </c>
      <c r="G35" s="156">
        <v>41677</v>
      </c>
      <c r="H35" s="156">
        <v>49725</v>
      </c>
      <c r="I35" s="156">
        <v>53760</v>
      </c>
      <c r="J35" s="156">
        <v>63440</v>
      </c>
      <c r="K35" s="156">
        <v>70315</v>
      </c>
      <c r="L35" s="156">
        <v>81782</v>
      </c>
      <c r="M35" s="156">
        <v>88403</v>
      </c>
      <c r="N35" s="156">
        <v>96635</v>
      </c>
      <c r="O35" s="156">
        <v>112501</v>
      </c>
      <c r="P35" s="156">
        <v>163705</v>
      </c>
      <c r="Q35" s="156">
        <v>219039</v>
      </c>
      <c r="R35" s="156">
        <v>303201</v>
      </c>
      <c r="S35" s="156">
        <v>380257</v>
      </c>
      <c r="T35" s="156">
        <v>432105</v>
      </c>
      <c r="U35" s="156">
        <v>529762</v>
      </c>
      <c r="V35" s="156">
        <v>924178</v>
      </c>
      <c r="W35" s="156">
        <v>1094475</v>
      </c>
      <c r="X35" s="156">
        <v>1477441</v>
      </c>
      <c r="Y35" s="156">
        <v>1697088</v>
      </c>
      <c r="Z35" s="156">
        <v>1972833</v>
      </c>
      <c r="AA35" s="156">
        <v>2089861</v>
      </c>
      <c r="AB35" s="156">
        <v>2716561</v>
      </c>
      <c r="AC35" s="156">
        <v>2963639</v>
      </c>
      <c r="AD35" s="156">
        <v>3566645</v>
      </c>
      <c r="AE35" s="156">
        <v>4181600</v>
      </c>
      <c r="AF35" s="157">
        <v>4258376</v>
      </c>
      <c r="AG35" s="152">
        <f>'2. Overall cum progress June Rf'!M40</f>
        <v>4640701</v>
      </c>
    </row>
    <row r="36" spans="1:33">
      <c r="A36" s="438" t="s">
        <v>305</v>
      </c>
      <c r="B36" s="438"/>
      <c r="C36" s="179">
        <v>9.5</v>
      </c>
      <c r="D36" s="156">
        <v>28.82</v>
      </c>
      <c r="E36" s="156">
        <v>47.5</v>
      </c>
      <c r="F36" s="156">
        <v>65.12</v>
      </c>
      <c r="G36" s="156">
        <v>90.87</v>
      </c>
      <c r="H36" s="156">
        <v>124.28</v>
      </c>
      <c r="I36" s="156">
        <v>151</v>
      </c>
      <c r="J36" s="156">
        <v>189.054</v>
      </c>
      <c r="K36" s="156">
        <v>223.26499999999999</v>
      </c>
      <c r="L36" s="156">
        <v>252.05999999999997</v>
      </c>
      <c r="M36" s="156">
        <v>278.82417199999998</v>
      </c>
      <c r="N36" s="156">
        <v>306.35615199999995</v>
      </c>
      <c r="O36" s="156">
        <v>369.96915199999995</v>
      </c>
      <c r="P36" s="156">
        <v>462.86128099999996</v>
      </c>
      <c r="Q36" s="156">
        <v>610.54608699999994</v>
      </c>
      <c r="R36" s="156">
        <v>822.72373299999992</v>
      </c>
      <c r="S36" s="156">
        <v>1052.7613690000001</v>
      </c>
      <c r="T36" s="156">
        <v>1328.491342</v>
      </c>
      <c r="U36" s="156">
        <v>1636.4943720000001</v>
      </c>
      <c r="V36" s="156">
        <v>2310.2607330000001</v>
      </c>
      <c r="W36" s="156">
        <v>2775.4692789999999</v>
      </c>
      <c r="X36" s="156">
        <v>3825.75</v>
      </c>
      <c r="Y36" s="156">
        <v>4412.9717760000003</v>
      </c>
      <c r="Z36" s="156">
        <v>5698.9876720000002</v>
      </c>
      <c r="AA36" s="156">
        <v>7761.45</v>
      </c>
      <c r="AB36" s="156">
        <v>9194.25</v>
      </c>
      <c r="AC36" s="156">
        <v>10955.06</v>
      </c>
      <c r="AD36" s="156">
        <v>12171.84</v>
      </c>
      <c r="AE36" s="156">
        <v>16365</v>
      </c>
      <c r="AF36" s="157">
        <v>17467.013999999999</v>
      </c>
      <c r="AG36" s="152">
        <f>'2. Overall cum progress June Rf'!M42</f>
        <v>20031.117837000002</v>
      </c>
    </row>
    <row r="37" spans="1:33">
      <c r="A37" s="434" t="s">
        <v>23</v>
      </c>
      <c r="B37" s="434" t="s">
        <v>24</v>
      </c>
      <c r="C37" s="180">
        <v>0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28</v>
      </c>
      <c r="N37" s="156">
        <v>63</v>
      </c>
      <c r="O37" s="156">
        <v>63</v>
      </c>
      <c r="P37" s="156">
        <v>90</v>
      </c>
      <c r="Q37" s="156">
        <v>151</v>
      </c>
      <c r="R37" s="156">
        <v>248</v>
      </c>
      <c r="S37" s="156">
        <v>280</v>
      </c>
      <c r="T37" s="156">
        <v>358</v>
      </c>
      <c r="U37" s="156">
        <v>368</v>
      </c>
      <c r="V37" s="156">
        <v>375</v>
      </c>
      <c r="W37" s="156">
        <v>387</v>
      </c>
      <c r="X37" s="156">
        <v>616</v>
      </c>
      <c r="Y37" s="156">
        <v>1414</v>
      </c>
      <c r="Z37" s="156">
        <v>1507</v>
      </c>
      <c r="AA37" s="156">
        <v>1674</v>
      </c>
      <c r="AB37" s="156">
        <v>1475</v>
      </c>
      <c r="AC37" s="156">
        <v>1446</v>
      </c>
      <c r="AD37" s="156">
        <v>1902</v>
      </c>
      <c r="AE37" s="156">
        <v>1895</v>
      </c>
      <c r="AF37" s="157">
        <v>2312</v>
      </c>
      <c r="AG37" s="152">
        <f>'2. Overall cum progress June Rf'!M43</f>
        <v>2327</v>
      </c>
    </row>
    <row r="38" spans="1:33">
      <c r="A38" s="435" t="s">
        <v>25</v>
      </c>
      <c r="B38" s="162" t="s">
        <v>24</v>
      </c>
      <c r="C38" s="156">
        <v>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571</v>
      </c>
      <c r="N38" s="156">
        <v>1114</v>
      </c>
      <c r="O38" s="156">
        <v>1114</v>
      </c>
      <c r="P38" s="156">
        <v>1528</v>
      </c>
      <c r="Q38" s="156">
        <v>2371</v>
      </c>
      <c r="R38" s="156">
        <v>4698</v>
      </c>
      <c r="S38" s="156">
        <v>5433</v>
      </c>
      <c r="T38" s="156">
        <v>7029</v>
      </c>
      <c r="U38" s="156">
        <v>10172</v>
      </c>
      <c r="V38" s="156">
        <v>12667</v>
      </c>
      <c r="W38" s="156">
        <v>15676</v>
      </c>
      <c r="X38" s="156">
        <v>22391</v>
      </c>
      <c r="Y38" s="156">
        <v>30193</v>
      </c>
      <c r="Z38" s="156">
        <v>32322</v>
      </c>
      <c r="AA38" s="156">
        <v>26228</v>
      </c>
      <c r="AB38" s="156">
        <v>27655</v>
      </c>
      <c r="AC38" s="156">
        <v>22516</v>
      </c>
      <c r="AD38" s="156">
        <v>23533</v>
      </c>
      <c r="AE38" s="156">
        <v>23867</v>
      </c>
      <c r="AF38" s="157">
        <v>42218</v>
      </c>
      <c r="AG38" s="152">
        <f>'2. Overall cum progress June Rf'!M44</f>
        <v>41959</v>
      </c>
    </row>
    <row r="39" spans="1:33">
      <c r="A39" s="435"/>
      <c r="B39" s="163" t="s">
        <v>26</v>
      </c>
      <c r="C39" s="156">
        <v>0</v>
      </c>
      <c r="D39" s="156">
        <v>0</v>
      </c>
      <c r="E39" s="156">
        <v>0</v>
      </c>
      <c r="F39" s="156">
        <v>0</v>
      </c>
      <c r="G39" s="156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0</v>
      </c>
      <c r="M39" s="156">
        <v>277</v>
      </c>
      <c r="N39" s="156">
        <v>729</v>
      </c>
      <c r="O39" s="156">
        <v>729</v>
      </c>
      <c r="P39" s="156">
        <v>883</v>
      </c>
      <c r="Q39" s="156">
        <v>1942</v>
      </c>
      <c r="R39" s="156">
        <v>4309</v>
      </c>
      <c r="S39" s="156">
        <v>4972</v>
      </c>
      <c r="T39" s="156">
        <v>8636</v>
      </c>
      <c r="U39" s="156">
        <v>9094</v>
      </c>
      <c r="V39" s="156">
        <v>10382</v>
      </c>
      <c r="W39" s="156">
        <v>11667</v>
      </c>
      <c r="X39" s="156">
        <v>17327</v>
      </c>
      <c r="Y39" s="156">
        <v>17608</v>
      </c>
      <c r="Z39" s="156">
        <v>17845</v>
      </c>
      <c r="AA39" s="156">
        <v>27630</v>
      </c>
      <c r="AB39" s="156">
        <v>29479</v>
      </c>
      <c r="AC39" s="156">
        <v>26861</v>
      </c>
      <c r="AD39" s="156">
        <v>28547</v>
      </c>
      <c r="AE39" s="156">
        <v>27035</v>
      </c>
      <c r="AF39" s="157">
        <v>46426</v>
      </c>
      <c r="AG39" s="152">
        <f>'2. Overall cum progress June Rf'!M45</f>
        <v>49291</v>
      </c>
    </row>
    <row r="40" spans="1:33">
      <c r="A40" s="435"/>
      <c r="B40" s="164" t="s">
        <v>16</v>
      </c>
      <c r="C40" s="165">
        <v>0</v>
      </c>
      <c r="D40" s="165">
        <v>0</v>
      </c>
      <c r="E40" s="165">
        <v>0</v>
      </c>
      <c r="F40" s="165">
        <v>0</v>
      </c>
      <c r="G40" s="165">
        <v>0</v>
      </c>
      <c r="H40" s="165">
        <v>0</v>
      </c>
      <c r="I40" s="165">
        <v>0</v>
      </c>
      <c r="J40" s="165">
        <v>0</v>
      </c>
      <c r="K40" s="165">
        <v>0</v>
      </c>
      <c r="L40" s="165">
        <v>0</v>
      </c>
      <c r="M40" s="165">
        <v>848</v>
      </c>
      <c r="N40" s="165">
        <v>1843</v>
      </c>
      <c r="O40" s="165">
        <v>1843</v>
      </c>
      <c r="P40" s="165">
        <v>2411</v>
      </c>
      <c r="Q40" s="165">
        <v>4313</v>
      </c>
      <c r="R40" s="165">
        <v>9007</v>
      </c>
      <c r="S40" s="165">
        <v>10405</v>
      </c>
      <c r="T40" s="165">
        <v>15665</v>
      </c>
      <c r="U40" s="165">
        <v>19266</v>
      </c>
      <c r="V40" s="165">
        <v>23049</v>
      </c>
      <c r="W40" s="165">
        <v>27343</v>
      </c>
      <c r="X40" s="165">
        <v>39718</v>
      </c>
      <c r="Y40" s="165">
        <v>47801</v>
      </c>
      <c r="Z40" s="165">
        <v>50167</v>
      </c>
      <c r="AA40" s="165">
        <v>53858</v>
      </c>
      <c r="AB40" s="165">
        <v>57134</v>
      </c>
      <c r="AC40" s="165">
        <v>49377</v>
      </c>
      <c r="AD40" s="165">
        <v>52080</v>
      </c>
      <c r="AE40" s="165">
        <v>50902</v>
      </c>
      <c r="AF40" s="166">
        <v>88644</v>
      </c>
      <c r="AG40" s="152">
        <f>'2. Overall cum progress June Rf'!M46</f>
        <v>91250</v>
      </c>
    </row>
    <row r="41" spans="1:33">
      <c r="A41" s="435" t="s">
        <v>292</v>
      </c>
      <c r="B41" s="162" t="s">
        <v>17</v>
      </c>
      <c r="C41" s="156">
        <v>0</v>
      </c>
      <c r="D41" s="156">
        <v>0</v>
      </c>
      <c r="E41" s="156">
        <v>0</v>
      </c>
      <c r="F41" s="156">
        <v>0</v>
      </c>
      <c r="G41" s="156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>
        <v>37</v>
      </c>
      <c r="O41" s="156">
        <v>37</v>
      </c>
      <c r="P41" s="156">
        <v>45</v>
      </c>
      <c r="Q41" s="156">
        <v>78</v>
      </c>
      <c r="R41" s="156">
        <v>120</v>
      </c>
      <c r="S41" s="156">
        <v>245</v>
      </c>
      <c r="T41" s="156">
        <v>367</v>
      </c>
      <c r="U41" s="156">
        <v>594</v>
      </c>
      <c r="V41" s="156">
        <v>652</v>
      </c>
      <c r="W41" s="156">
        <v>1220</v>
      </c>
      <c r="X41" s="156">
        <v>1666</v>
      </c>
      <c r="Y41" s="156">
        <v>2312</v>
      </c>
      <c r="Z41" s="156">
        <v>2546</v>
      </c>
      <c r="AA41" s="156">
        <v>3658</v>
      </c>
      <c r="AB41" s="156">
        <v>2116</v>
      </c>
      <c r="AC41" s="156">
        <v>19842</v>
      </c>
      <c r="AD41" s="156">
        <v>19842</v>
      </c>
      <c r="AE41" s="156">
        <v>23001</v>
      </c>
      <c r="AF41" s="157">
        <v>22943</v>
      </c>
      <c r="AG41" s="152">
        <f>'2. Overall cum progress June Rf'!M47</f>
        <v>26877</v>
      </c>
    </row>
    <row r="42" spans="1:33">
      <c r="A42" s="435"/>
      <c r="B42" s="163" t="s">
        <v>18</v>
      </c>
      <c r="C42" s="156">
        <v>0</v>
      </c>
      <c r="D42" s="156">
        <v>0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2</v>
      </c>
      <c r="N42" s="156">
        <v>26</v>
      </c>
      <c r="O42" s="156">
        <v>26</v>
      </c>
      <c r="P42" s="156">
        <v>47</v>
      </c>
      <c r="Q42" s="156">
        <v>78</v>
      </c>
      <c r="R42" s="156">
        <v>163</v>
      </c>
      <c r="S42" s="156">
        <v>292</v>
      </c>
      <c r="T42" s="156">
        <v>389</v>
      </c>
      <c r="U42" s="156">
        <v>563</v>
      </c>
      <c r="V42" s="156">
        <v>621</v>
      </c>
      <c r="W42" s="156">
        <v>690</v>
      </c>
      <c r="X42" s="156">
        <v>881</v>
      </c>
      <c r="Y42" s="156">
        <v>1141</v>
      </c>
      <c r="Z42" s="156">
        <v>1197</v>
      </c>
      <c r="AA42" s="156">
        <v>1796</v>
      </c>
      <c r="AB42" s="156">
        <v>704</v>
      </c>
      <c r="AC42" s="156">
        <v>2076</v>
      </c>
      <c r="AD42" s="156">
        <v>2076</v>
      </c>
      <c r="AE42" s="156">
        <v>2532</v>
      </c>
      <c r="AF42" s="157">
        <v>2532</v>
      </c>
      <c r="AG42" s="152">
        <f>'2. Overall cum progress June Rf'!M48</f>
        <v>3216</v>
      </c>
    </row>
    <row r="43" spans="1:33">
      <c r="A43" s="435"/>
      <c r="B43" s="164" t="s">
        <v>16</v>
      </c>
      <c r="C43" s="165">
        <v>0</v>
      </c>
      <c r="D43" s="165">
        <v>0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0</v>
      </c>
      <c r="K43" s="165">
        <v>0</v>
      </c>
      <c r="L43" s="165">
        <v>0</v>
      </c>
      <c r="M43" s="165">
        <v>2</v>
      </c>
      <c r="N43" s="165">
        <v>63</v>
      </c>
      <c r="O43" s="165">
        <v>63</v>
      </c>
      <c r="P43" s="165">
        <v>92</v>
      </c>
      <c r="Q43" s="165">
        <v>156</v>
      </c>
      <c r="R43" s="165">
        <v>283</v>
      </c>
      <c r="S43" s="165">
        <v>537</v>
      </c>
      <c r="T43" s="165">
        <v>756</v>
      </c>
      <c r="U43" s="165">
        <v>1157</v>
      </c>
      <c r="V43" s="165">
        <v>1273</v>
      </c>
      <c r="W43" s="165">
        <v>1910</v>
      </c>
      <c r="X43" s="165">
        <v>2547</v>
      </c>
      <c r="Y43" s="165">
        <v>3453</v>
      </c>
      <c r="Z43" s="165">
        <v>3743</v>
      </c>
      <c r="AA43" s="165">
        <v>5454</v>
      </c>
      <c r="AB43" s="165">
        <v>2820</v>
      </c>
      <c r="AC43" s="165">
        <v>21918</v>
      </c>
      <c r="AD43" s="165">
        <v>21918</v>
      </c>
      <c r="AE43" s="165">
        <v>25533</v>
      </c>
      <c r="AF43" s="166">
        <v>25475</v>
      </c>
      <c r="AG43" s="152">
        <f>'2. Overall cum progress June Rf'!M49</f>
        <v>30093</v>
      </c>
    </row>
    <row r="44" spans="1:33">
      <c r="A44" s="435" t="s">
        <v>293</v>
      </c>
      <c r="B44" s="162" t="s">
        <v>17</v>
      </c>
      <c r="C44" s="156">
        <v>0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8</v>
      </c>
      <c r="N44" s="156">
        <v>101</v>
      </c>
      <c r="O44" s="156">
        <v>101</v>
      </c>
      <c r="P44" s="156">
        <v>230</v>
      </c>
      <c r="Q44" s="156">
        <v>293</v>
      </c>
      <c r="R44" s="156">
        <v>392</v>
      </c>
      <c r="S44" s="156">
        <v>882</v>
      </c>
      <c r="T44" s="156">
        <v>2696</v>
      </c>
      <c r="U44" s="156">
        <v>7123</v>
      </c>
      <c r="V44" s="156">
        <v>8119</v>
      </c>
      <c r="W44" s="156">
        <v>9393</v>
      </c>
      <c r="X44" s="156">
        <v>10091</v>
      </c>
      <c r="Y44" s="156">
        <v>11013</v>
      </c>
      <c r="Z44" s="156">
        <v>11184</v>
      </c>
      <c r="AA44" s="156">
        <v>12660</v>
      </c>
      <c r="AB44" s="156">
        <v>12908</v>
      </c>
      <c r="AC44" s="156">
        <v>13543</v>
      </c>
      <c r="AD44" s="156">
        <v>14610</v>
      </c>
      <c r="AE44" s="156">
        <v>19006</v>
      </c>
      <c r="AF44" s="157">
        <v>21132</v>
      </c>
      <c r="AG44" s="152">
        <f>'2. Overall cum progress June Rf'!M50</f>
        <v>21772</v>
      </c>
    </row>
    <row r="45" spans="1:33">
      <c r="A45" s="435"/>
      <c r="B45" s="163" t="s">
        <v>18</v>
      </c>
      <c r="C45" s="156">
        <v>0</v>
      </c>
      <c r="D45" s="156">
        <v>0</v>
      </c>
      <c r="E45" s="156">
        <v>0</v>
      </c>
      <c r="F45" s="156">
        <v>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  <c r="Q45" s="156">
        <v>0</v>
      </c>
      <c r="R45" s="156">
        <v>0</v>
      </c>
      <c r="S45" s="156">
        <v>22</v>
      </c>
      <c r="T45" s="156">
        <v>287</v>
      </c>
      <c r="U45" s="156">
        <v>313</v>
      </c>
      <c r="V45" s="156">
        <v>564</v>
      </c>
      <c r="W45" s="156">
        <v>805</v>
      </c>
      <c r="X45" s="156">
        <v>1747</v>
      </c>
      <c r="Y45" s="156">
        <v>1768</v>
      </c>
      <c r="Z45" s="156">
        <v>1768</v>
      </c>
      <c r="AA45" s="156">
        <v>2342</v>
      </c>
      <c r="AB45" s="156">
        <v>2342</v>
      </c>
      <c r="AC45" s="156">
        <v>2342</v>
      </c>
      <c r="AD45" s="156">
        <v>2342</v>
      </c>
      <c r="AE45" s="156">
        <v>2912</v>
      </c>
      <c r="AF45" s="157">
        <v>2912</v>
      </c>
      <c r="AG45" s="152">
        <f>'2. Overall cum progress June Rf'!M51</f>
        <v>2912</v>
      </c>
    </row>
    <row r="46" spans="1:33">
      <c r="A46" s="435"/>
      <c r="B46" s="164" t="s">
        <v>16</v>
      </c>
      <c r="C46" s="165">
        <v>0</v>
      </c>
      <c r="D46" s="165">
        <v>0</v>
      </c>
      <c r="E46" s="165">
        <v>0</v>
      </c>
      <c r="F46" s="165">
        <v>0</v>
      </c>
      <c r="G46" s="165">
        <v>0</v>
      </c>
      <c r="H46" s="165">
        <v>0</v>
      </c>
      <c r="I46" s="165">
        <v>0</v>
      </c>
      <c r="J46" s="165">
        <v>0</v>
      </c>
      <c r="K46" s="165">
        <v>0</v>
      </c>
      <c r="L46" s="165">
        <v>0</v>
      </c>
      <c r="M46" s="165">
        <v>8</v>
      </c>
      <c r="N46" s="165">
        <v>101</v>
      </c>
      <c r="O46" s="165">
        <v>101</v>
      </c>
      <c r="P46" s="165">
        <v>230</v>
      </c>
      <c r="Q46" s="165">
        <v>293</v>
      </c>
      <c r="R46" s="165">
        <v>392</v>
      </c>
      <c r="S46" s="165">
        <v>904</v>
      </c>
      <c r="T46" s="165">
        <v>2983</v>
      </c>
      <c r="U46" s="165">
        <v>7436</v>
      </c>
      <c r="V46" s="165">
        <v>8683</v>
      </c>
      <c r="W46" s="165">
        <v>10198</v>
      </c>
      <c r="X46" s="165">
        <v>11838</v>
      </c>
      <c r="Y46" s="165">
        <v>12781</v>
      </c>
      <c r="Z46" s="165">
        <v>12952</v>
      </c>
      <c r="AA46" s="165">
        <v>15002</v>
      </c>
      <c r="AB46" s="165">
        <v>15250</v>
      </c>
      <c r="AC46" s="165">
        <v>15885</v>
      </c>
      <c r="AD46" s="165">
        <v>17084</v>
      </c>
      <c r="AE46" s="165">
        <v>21918</v>
      </c>
      <c r="AF46" s="166">
        <v>24044</v>
      </c>
      <c r="AG46" s="152">
        <f>'2. Overall cum progress June Rf'!M52</f>
        <v>24684</v>
      </c>
    </row>
  </sheetData>
  <mergeCells count="16">
    <mergeCell ref="A21:A24"/>
    <mergeCell ref="A3:B3"/>
    <mergeCell ref="A8:A11"/>
    <mergeCell ref="A12:A14"/>
    <mergeCell ref="A15:A17"/>
    <mergeCell ref="A18:A20"/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6"/>
  <sheetViews>
    <sheetView topLeftCell="A89" workbookViewId="0">
      <selection activeCell="A109" sqref="A109"/>
    </sheetView>
  </sheetViews>
  <sheetFormatPr defaultRowHeight="15"/>
  <cols>
    <col min="1" max="1" width="9.140625" style="152"/>
    <col min="2" max="2" width="17.85546875" style="152" customWidth="1"/>
    <col min="3" max="3" width="11.28515625" style="152" bestFit="1" customWidth="1"/>
    <col min="4" max="4" width="11.5703125" style="152" bestFit="1" customWidth="1"/>
    <col min="5" max="5" width="13.42578125" style="152" bestFit="1" customWidth="1"/>
    <col min="6" max="16384" width="9.140625" style="152"/>
  </cols>
  <sheetData>
    <row r="1" spans="1:23">
      <c r="A1" s="442" t="s">
        <v>0</v>
      </c>
      <c r="B1" s="442"/>
      <c r="C1" s="153">
        <v>33939</v>
      </c>
      <c r="D1" s="153">
        <v>37591</v>
      </c>
      <c r="E1" s="153">
        <v>41244</v>
      </c>
      <c r="F1" s="153">
        <v>41639</v>
      </c>
    </row>
    <row r="2" spans="1:23">
      <c r="A2" s="154" t="s">
        <v>248</v>
      </c>
      <c r="B2" s="155"/>
      <c r="C2" s="156">
        <v>7</v>
      </c>
      <c r="D2" s="156">
        <v>68</v>
      </c>
      <c r="E2" s="156">
        <f>'Cummulative Progress since 82'!AF4</f>
        <v>112</v>
      </c>
      <c r="F2" s="152">
        <f>'Cummulative Progress since 82'!AG4</f>
        <v>121</v>
      </c>
    </row>
    <row r="4" spans="1:23">
      <c r="C4" s="152" t="s">
        <v>256</v>
      </c>
      <c r="D4" s="152" t="s">
        <v>257</v>
      </c>
      <c r="E4" s="199" t="s">
        <v>272</v>
      </c>
      <c r="S4" s="442" t="s">
        <v>0</v>
      </c>
      <c r="T4" s="442"/>
      <c r="U4" s="153">
        <v>33939</v>
      </c>
      <c r="V4" s="153">
        <v>37591</v>
      </c>
      <c r="W4" s="153">
        <v>41609</v>
      </c>
    </row>
    <row r="5" spans="1:23">
      <c r="C5" s="181">
        <f>C2</f>
        <v>7</v>
      </c>
      <c r="D5" s="181">
        <f>D2</f>
        <v>68</v>
      </c>
      <c r="E5" s="181">
        <f>F2</f>
        <v>121</v>
      </c>
      <c r="S5" s="154" t="s">
        <v>306</v>
      </c>
      <c r="T5" s="155"/>
      <c r="U5" s="156">
        <f>'Cummulative Progress since 82'!L7</f>
        <v>0</v>
      </c>
      <c r="V5" s="156">
        <f>'Cummulative Progress since 82'!V7</f>
        <v>0</v>
      </c>
      <c r="W5" s="156">
        <f>'Cummulative Progress since 82'!AG7</f>
        <v>1071</v>
      </c>
    </row>
    <row r="7" spans="1:23">
      <c r="U7" s="152" t="s">
        <v>256</v>
      </c>
      <c r="V7" s="152" t="s">
        <v>257</v>
      </c>
      <c r="W7" s="199" t="s">
        <v>272</v>
      </c>
    </row>
    <row r="8" spans="1:23">
      <c r="U8" s="181">
        <f>U5</f>
        <v>0</v>
      </c>
      <c r="V8" s="181">
        <f>V5</f>
        <v>0</v>
      </c>
      <c r="W8" s="181">
        <f>W5</f>
        <v>1071</v>
      </c>
    </row>
    <row r="26" spans="1:5">
      <c r="A26" s="442" t="s">
        <v>0</v>
      </c>
      <c r="B26" s="442"/>
      <c r="C26" s="153">
        <v>33939</v>
      </c>
      <c r="D26" s="153">
        <v>37591</v>
      </c>
      <c r="E26" s="153">
        <v>41609</v>
      </c>
    </row>
    <row r="27" spans="1:5">
      <c r="A27" s="158" t="s">
        <v>299</v>
      </c>
      <c r="B27" s="155"/>
      <c r="C27" s="156">
        <v>121</v>
      </c>
      <c r="D27" s="156">
        <v>1521</v>
      </c>
      <c r="E27" s="156">
        <f>'Cummulative Progress since 82'!AG5</f>
        <v>3648</v>
      </c>
    </row>
    <row r="30" spans="1:5">
      <c r="C30" s="152" t="s">
        <v>256</v>
      </c>
      <c r="D30" s="152" t="s">
        <v>257</v>
      </c>
      <c r="E30" s="199" t="s">
        <v>272</v>
      </c>
    </row>
    <row r="31" spans="1:5">
      <c r="C31" s="181">
        <f>C27</f>
        <v>121</v>
      </c>
      <c r="D31" s="181">
        <f>D27</f>
        <v>1521</v>
      </c>
      <c r="E31" s="181">
        <f>E27</f>
        <v>3648</v>
      </c>
    </row>
    <row r="51" spans="1:5">
      <c r="A51" s="442" t="s">
        <v>0</v>
      </c>
      <c r="B51" s="442"/>
      <c r="C51" s="153">
        <v>33939</v>
      </c>
      <c r="D51" s="153">
        <v>37591</v>
      </c>
      <c r="E51" s="153">
        <v>41609</v>
      </c>
    </row>
    <row r="52" spans="1:5">
      <c r="A52" s="158" t="s">
        <v>300</v>
      </c>
      <c r="B52" s="155"/>
      <c r="C52" s="156">
        <v>75465.052497846686</v>
      </c>
      <c r="D52" s="156">
        <v>740798.94726836472</v>
      </c>
      <c r="E52" s="156">
        <f>'Cummulative Progress since 82'!AG6</f>
        <v>5993888</v>
      </c>
    </row>
    <row r="56" spans="1:5">
      <c r="C56" s="152" t="s">
        <v>256</v>
      </c>
      <c r="D56" s="152" t="s">
        <v>257</v>
      </c>
      <c r="E56" s="199" t="s">
        <v>272</v>
      </c>
    </row>
    <row r="57" spans="1:5">
      <c r="C57" s="182">
        <f>C52/1000000</f>
        <v>7.5465052497846685E-2</v>
      </c>
      <c r="D57" s="182">
        <f>D52/1000000</f>
        <v>0.7407989472683647</v>
      </c>
      <c r="E57" s="183">
        <f>E52/1000000</f>
        <v>5.9938880000000001</v>
      </c>
    </row>
    <row r="74" spans="1:5">
      <c r="A74" s="442" t="s">
        <v>0</v>
      </c>
      <c r="B74" s="442"/>
      <c r="C74" s="153">
        <v>33939</v>
      </c>
      <c r="D74" s="153">
        <v>37591</v>
      </c>
      <c r="E74" s="153">
        <v>41609</v>
      </c>
    </row>
    <row r="75" spans="1:5">
      <c r="A75" s="435" t="s">
        <v>287</v>
      </c>
      <c r="B75" s="162" t="s">
        <v>13</v>
      </c>
      <c r="C75" s="156">
        <v>612</v>
      </c>
      <c r="D75" s="156">
        <v>11806</v>
      </c>
      <c r="E75" s="156">
        <f>'Cummulative Progress since 82'!AG8</f>
        <v>169663</v>
      </c>
    </row>
    <row r="76" spans="1:5">
      <c r="A76" s="435"/>
      <c r="B76" s="163" t="s">
        <v>14</v>
      </c>
      <c r="C76" s="156">
        <v>1723</v>
      </c>
      <c r="D76" s="156">
        <v>23567.25</v>
      </c>
      <c r="E76" s="156">
        <f>'Cummulative Progress since 82'!AG9</f>
        <v>166294</v>
      </c>
    </row>
    <row r="77" spans="1:5">
      <c r="A77" s="435"/>
      <c r="B77" s="163" t="s">
        <v>15</v>
      </c>
      <c r="C77" s="156">
        <v>0</v>
      </c>
      <c r="D77" s="156">
        <v>1252.0999999999999</v>
      </c>
      <c r="E77" s="156">
        <f>'Cummulative Progress since 82'!AG10</f>
        <v>14010</v>
      </c>
    </row>
    <row r="78" spans="1:5">
      <c r="A78" s="435"/>
      <c r="B78" s="164" t="s">
        <v>16</v>
      </c>
      <c r="C78" s="165">
        <v>2335</v>
      </c>
      <c r="D78" s="165">
        <v>36625.35</v>
      </c>
      <c r="E78" s="165">
        <f>SUM(E75:E77)</f>
        <v>349967</v>
      </c>
    </row>
    <row r="82" spans="2:5">
      <c r="C82" s="152" t="s">
        <v>256</v>
      </c>
      <c r="D82" s="152" t="s">
        <v>257</v>
      </c>
      <c r="E82" s="199" t="s">
        <v>272</v>
      </c>
    </row>
    <row r="83" spans="2:5">
      <c r="B83" s="162" t="s">
        <v>13</v>
      </c>
      <c r="C83" s="181">
        <f>C75</f>
        <v>612</v>
      </c>
      <c r="D83" s="181">
        <f>D75</f>
        <v>11806</v>
      </c>
      <c r="E83" s="181">
        <f>E75</f>
        <v>169663</v>
      </c>
    </row>
    <row r="84" spans="2:5">
      <c r="B84" s="163" t="s">
        <v>14</v>
      </c>
      <c r="C84" s="181">
        <f t="shared" ref="C84:E86" si="0">C76</f>
        <v>1723</v>
      </c>
      <c r="D84" s="181">
        <f t="shared" si="0"/>
        <v>23567.25</v>
      </c>
      <c r="E84" s="181">
        <f t="shared" si="0"/>
        <v>166294</v>
      </c>
    </row>
    <row r="85" spans="2:5">
      <c r="B85" s="163" t="s">
        <v>15</v>
      </c>
      <c r="C85" s="181">
        <f t="shared" si="0"/>
        <v>0</v>
      </c>
      <c r="D85" s="181">
        <f t="shared" si="0"/>
        <v>1252.0999999999999</v>
      </c>
      <c r="E85" s="181">
        <f t="shared" si="0"/>
        <v>14010</v>
      </c>
    </row>
    <row r="86" spans="2:5">
      <c r="B86" s="164" t="s">
        <v>16</v>
      </c>
      <c r="C86" s="181">
        <f t="shared" si="0"/>
        <v>2335</v>
      </c>
      <c r="D86" s="181">
        <f t="shared" si="0"/>
        <v>36625.35</v>
      </c>
      <c r="E86" s="181">
        <f t="shared" si="0"/>
        <v>349967</v>
      </c>
    </row>
    <row r="102" spans="1:5">
      <c r="C102" s="152" t="s">
        <v>256</v>
      </c>
      <c r="D102" s="152" t="s">
        <v>257</v>
      </c>
      <c r="E102" s="199" t="s">
        <v>272</v>
      </c>
    </row>
    <row r="103" spans="1:5">
      <c r="A103" s="436" t="s">
        <v>249</v>
      </c>
      <c r="B103" s="167" t="s">
        <v>17</v>
      </c>
      <c r="C103" s="184">
        <f>'Cummulative Progress since 82'!L15</f>
        <v>17.787599999999998</v>
      </c>
      <c r="D103" s="184">
        <f>'Cummulative Progress since 82'!V15</f>
        <v>214.49246599999998</v>
      </c>
      <c r="E103" s="184">
        <f>'Cummulative Progress since 82'!AG15</f>
        <v>715.35420999999997</v>
      </c>
    </row>
    <row r="104" spans="1:5">
      <c r="A104" s="436"/>
      <c r="B104" s="169" t="s">
        <v>18</v>
      </c>
      <c r="C104" s="184">
        <f>'Cummulative Progress since 82'!L16</f>
        <v>127.39009999999999</v>
      </c>
      <c r="D104" s="184">
        <f>'Cummulative Progress since 82'!V16</f>
        <v>628.37888399999997</v>
      </c>
      <c r="E104" s="184">
        <f>'Cummulative Progress since 82'!AG16</f>
        <v>1911.7217749999998</v>
      </c>
    </row>
    <row r="105" spans="1:5">
      <c r="A105" s="436"/>
      <c r="B105" s="164" t="s">
        <v>16</v>
      </c>
      <c r="C105" s="184">
        <f>'Cummulative Progress since 82'!L17</f>
        <v>145.17769999999999</v>
      </c>
      <c r="D105" s="184">
        <f>'Cummulative Progress since 82'!V17</f>
        <v>842.87134999999989</v>
      </c>
      <c r="E105" s="184">
        <f>'Cummulative Progress since 82'!AG17</f>
        <v>2627.0759849999995</v>
      </c>
    </row>
    <row r="117" spans="1:5">
      <c r="C117" s="152" t="s">
        <v>256</v>
      </c>
      <c r="D117" s="152" t="s">
        <v>257</v>
      </c>
      <c r="E117" s="199" t="s">
        <v>272</v>
      </c>
    </row>
    <row r="118" spans="1:5">
      <c r="A118" s="435" t="s">
        <v>19</v>
      </c>
      <c r="B118" s="162" t="s">
        <v>17</v>
      </c>
      <c r="C118" s="184">
        <f>'Cummulative Progress since 82'!L18</f>
        <v>1318</v>
      </c>
      <c r="D118" s="184">
        <f>'Cummulative Progress since 82'!V18</f>
        <v>115299</v>
      </c>
      <c r="E118" s="184">
        <f>'Cummulative Progress since 82'!AG18</f>
        <v>2081273</v>
      </c>
    </row>
    <row r="119" spans="1:5">
      <c r="A119" s="435"/>
      <c r="B119" s="163" t="s">
        <v>18</v>
      </c>
      <c r="C119" s="184">
        <f>'Cummulative Progress since 82'!L19</f>
        <v>9601</v>
      </c>
      <c r="D119" s="184">
        <f>'Cummulative Progress since 82'!V19</f>
        <v>253956</v>
      </c>
      <c r="E119" s="184">
        <f>'Cummulative Progress since 82'!AG19</f>
        <v>1853002</v>
      </c>
    </row>
    <row r="120" spans="1:5">
      <c r="A120" s="435"/>
      <c r="B120" s="164" t="s">
        <v>16</v>
      </c>
      <c r="C120" s="184">
        <f>'Cummulative Progress since 82'!L20</f>
        <v>10919</v>
      </c>
      <c r="D120" s="184">
        <f>'Cummulative Progress since 82'!V20</f>
        <v>369255</v>
      </c>
      <c r="E120" s="184">
        <f>'Cummulative Progress since 82'!AG20</f>
        <v>3934275</v>
      </c>
    </row>
    <row r="138" spans="1:5">
      <c r="C138" s="152" t="s">
        <v>256</v>
      </c>
      <c r="D138" s="152" t="s">
        <v>257</v>
      </c>
      <c r="E138" s="199" t="s">
        <v>272</v>
      </c>
    </row>
    <row r="139" spans="1:5">
      <c r="A139" s="436" t="s">
        <v>20</v>
      </c>
      <c r="B139" s="167" t="s">
        <v>17</v>
      </c>
      <c r="C139" s="184">
        <f>'Cummulative Progress since 82'!L25</f>
        <v>11.086100000000002</v>
      </c>
      <c r="D139" s="184">
        <f>'Cummulative Progress since 82'!V25</f>
        <v>1129.6137100000001</v>
      </c>
      <c r="E139" s="184">
        <f>'Cummulative Progress since 82'!AG25</f>
        <v>52556.471209999996</v>
      </c>
    </row>
    <row r="140" spans="1:5">
      <c r="A140" s="436"/>
      <c r="B140" s="169" t="s">
        <v>18</v>
      </c>
      <c r="C140" s="184">
        <f>'Cummulative Progress since 82'!L26</f>
        <v>144.87455300000002</v>
      </c>
      <c r="D140" s="184">
        <f>'Cummulative Progress since 82'!V26</f>
        <v>5493.9082699999999</v>
      </c>
      <c r="E140" s="184">
        <f>'Cummulative Progress since 82'!AG26</f>
        <v>59110.247201999999</v>
      </c>
    </row>
    <row r="141" spans="1:5">
      <c r="A141" s="436"/>
      <c r="B141" s="164" t="s">
        <v>16</v>
      </c>
      <c r="C141" s="184">
        <f>'Cummulative Progress since 82'!L27</f>
        <v>155.96065300000001</v>
      </c>
      <c r="D141" s="184">
        <f>'Cummulative Progress since 82'!V27</f>
        <v>6623.5219799999995</v>
      </c>
      <c r="E141" s="184">
        <f>'Cummulative Progress since 82'!AG27</f>
        <v>111666.71841199999</v>
      </c>
    </row>
    <row r="159" spans="1:5">
      <c r="C159" s="152" t="s">
        <v>256</v>
      </c>
      <c r="D159" s="152" t="s">
        <v>257</v>
      </c>
      <c r="E159" s="152" t="s">
        <v>258</v>
      </c>
    </row>
    <row r="160" spans="1:5">
      <c r="A160" s="436" t="s">
        <v>251</v>
      </c>
      <c r="B160" s="169" t="s">
        <v>252</v>
      </c>
    </row>
    <row r="161" spans="1:5">
      <c r="A161" s="436"/>
      <c r="B161" s="169" t="s">
        <v>253</v>
      </c>
    </row>
    <row r="162" spans="1:5">
      <c r="A162" s="436"/>
      <c r="B162" s="164" t="s">
        <v>16</v>
      </c>
    </row>
    <row r="163" spans="1:5">
      <c r="C163" s="152" t="s">
        <v>256</v>
      </c>
      <c r="D163" s="152" t="s">
        <v>257</v>
      </c>
      <c r="E163" s="199" t="s">
        <v>272</v>
      </c>
    </row>
    <row r="164" spans="1:5" ht="43.5">
      <c r="B164" s="163" t="s">
        <v>250</v>
      </c>
      <c r="C164" s="152">
        <v>0</v>
      </c>
      <c r="D164" s="152">
        <v>0</v>
      </c>
      <c r="E164" s="185">
        <f>'Cummulative Progress since 82'!AG24</f>
        <v>2148.3455829999998</v>
      </c>
    </row>
    <row r="172" spans="1:5">
      <c r="C172" s="152" t="s">
        <v>256</v>
      </c>
      <c r="D172" s="152" t="s">
        <v>257</v>
      </c>
      <c r="E172" s="199" t="s">
        <v>272</v>
      </c>
    </row>
    <row r="173" spans="1:5">
      <c r="A173" s="435" t="s">
        <v>307</v>
      </c>
      <c r="B173" s="162" t="s">
        <v>17</v>
      </c>
      <c r="C173" s="184">
        <v>0</v>
      </c>
      <c r="D173" s="184">
        <v>0</v>
      </c>
      <c r="E173" s="184">
        <f>'Cummulative Progress since 82'!AG31</f>
        <v>1323648</v>
      </c>
    </row>
    <row r="174" spans="1:5">
      <c r="A174" s="435"/>
      <c r="B174" s="163" t="s">
        <v>18</v>
      </c>
      <c r="C174" s="184">
        <v>0</v>
      </c>
      <c r="D174" s="184">
        <v>0</v>
      </c>
      <c r="E174" s="184">
        <f>'Cummulative Progress since 82'!AG32</f>
        <v>2749450</v>
      </c>
    </row>
    <row r="175" spans="1:5">
      <c r="A175" s="435"/>
      <c r="B175" s="164" t="s">
        <v>16</v>
      </c>
      <c r="C175" s="184">
        <v>0</v>
      </c>
      <c r="D175" s="184">
        <v>0</v>
      </c>
      <c r="E175" s="184">
        <f>'Cummulative Progress since 82'!AG33</f>
        <v>4073098</v>
      </c>
    </row>
    <row r="188" spans="2:5">
      <c r="C188" s="152" t="s">
        <v>256</v>
      </c>
      <c r="D188" s="152" t="s">
        <v>257</v>
      </c>
      <c r="E188" s="199" t="s">
        <v>272</v>
      </c>
    </row>
    <row r="189" spans="2:5" ht="28.5">
      <c r="B189" s="186" t="s">
        <v>304</v>
      </c>
      <c r="C189" s="187">
        <f>'Cummulative Progress since 82'!K34</f>
        <v>1244</v>
      </c>
      <c r="D189" s="184">
        <f>'Cummulative Progress since 82'!V34</f>
        <v>18053</v>
      </c>
      <c r="E189" s="184">
        <f>'Cummulative Progress since 82'!AG34</f>
        <v>150539</v>
      </c>
    </row>
    <row r="190" spans="2:5" ht="28.5">
      <c r="B190" s="188" t="s">
        <v>305</v>
      </c>
      <c r="C190" s="187">
        <f>'Cummulative Progress since 82'!K36</f>
        <v>223.26499999999999</v>
      </c>
      <c r="D190" s="184">
        <f>'Cummulative Progress since 82'!V36</f>
        <v>2310.2607330000001</v>
      </c>
      <c r="E190" s="184">
        <f>'Cummulative Progress since 82'!AG36</f>
        <v>20031.117837000002</v>
      </c>
    </row>
    <row r="195" spans="2:5">
      <c r="C195" s="152" t="s">
        <v>256</v>
      </c>
      <c r="D195" s="152" t="s">
        <v>257</v>
      </c>
      <c r="E195" s="199" t="s">
        <v>272</v>
      </c>
    </row>
    <row r="196" spans="2:5" ht="42.75">
      <c r="B196" s="186" t="s">
        <v>255</v>
      </c>
      <c r="C196" s="187">
        <f>'Cummulative Progress since 82'!K35</f>
        <v>70315</v>
      </c>
      <c r="D196" s="184">
        <f>'Cummulative Progress since 82'!V35</f>
        <v>924178</v>
      </c>
      <c r="E196" s="184">
        <f>'Cummulative Progress since 82'!AG35</f>
        <v>4640701</v>
      </c>
    </row>
  </sheetData>
  <mergeCells count="11">
    <mergeCell ref="A75:A78"/>
    <mergeCell ref="A1:B1"/>
    <mergeCell ref="S4:T4"/>
    <mergeCell ref="A26:B26"/>
    <mergeCell ref="A51:B51"/>
    <mergeCell ref="A74:B74"/>
    <mergeCell ref="A103:A105"/>
    <mergeCell ref="A118:A120"/>
    <mergeCell ref="A139:A141"/>
    <mergeCell ref="A160:A162"/>
    <mergeCell ref="A173:A1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28"/>
  <sheetViews>
    <sheetView tabSelected="1" workbookViewId="0">
      <pane xSplit="2" ySplit="3" topLeftCell="AD12" activePane="bottomRight" state="frozen"/>
      <selection activeCell="B27" sqref="B27"/>
      <selection pane="topRight" activeCell="B27" sqref="B27"/>
      <selection pane="bottomLeft" activeCell="B27" sqref="B27"/>
      <selection pane="bottomRight" activeCell="AI19" sqref="AI19"/>
    </sheetView>
  </sheetViews>
  <sheetFormatPr defaultRowHeight="15"/>
  <cols>
    <col min="1" max="1" width="35.42578125" style="152" customWidth="1"/>
    <col min="2" max="2" width="25.5703125" style="152" customWidth="1"/>
    <col min="3" max="3" width="18.140625" style="152" customWidth="1"/>
    <col min="4" max="4" width="16.28515625" style="152" customWidth="1"/>
    <col min="5" max="5" width="12.140625" style="152" customWidth="1"/>
    <col min="6" max="6" width="16.140625" style="152" customWidth="1"/>
    <col min="7" max="7" width="13.42578125" style="152" customWidth="1"/>
    <col min="8" max="8" width="12.85546875" style="152" customWidth="1"/>
    <col min="9" max="9" width="13.85546875" style="152" customWidth="1"/>
    <col min="10" max="10" width="12.85546875" style="152" customWidth="1"/>
    <col min="11" max="11" width="16.7109375" style="152" customWidth="1"/>
    <col min="12" max="12" width="16.5703125" style="152" customWidth="1"/>
    <col min="13" max="13" width="13.140625" style="152" customWidth="1"/>
    <col min="14" max="14" width="16.28515625" style="152" customWidth="1"/>
    <col min="15" max="15" width="15.7109375" style="152" customWidth="1"/>
    <col min="16" max="16" width="16.7109375" style="152" customWidth="1"/>
    <col min="17" max="17" width="16.28515625" style="152" customWidth="1"/>
    <col min="18" max="18" width="17.28515625" style="152" customWidth="1"/>
    <col min="19" max="19" width="17.5703125" style="152" customWidth="1"/>
    <col min="20" max="20" width="15.7109375" style="152" customWidth="1"/>
    <col min="21" max="21" width="17.7109375" style="152" customWidth="1"/>
    <col min="22" max="22" width="18.140625" style="152" customWidth="1"/>
    <col min="23" max="23" width="16.28515625" style="152" customWidth="1"/>
    <col min="24" max="24" width="19.140625" style="152" customWidth="1"/>
    <col min="25" max="26" width="13.85546875" style="152" customWidth="1"/>
    <col min="27" max="27" width="12.140625" style="152" customWidth="1"/>
    <col min="28" max="28" width="13.5703125" style="152" customWidth="1"/>
    <col min="29" max="29" width="14.5703125" style="152" customWidth="1"/>
    <col min="30" max="30" width="13.140625" style="152" customWidth="1"/>
    <col min="31" max="31" width="12.42578125" style="152" customWidth="1"/>
    <col min="32" max="32" width="14" style="152" customWidth="1"/>
    <col min="33" max="34" width="10.85546875" style="152" customWidth="1"/>
    <col min="35" max="35" width="10.28515625" style="152" bestFit="1" customWidth="1"/>
    <col min="36" max="16384" width="9.140625" style="152"/>
  </cols>
  <sheetData>
    <row r="1" spans="1:35" ht="15.75">
      <c r="A1" s="150" t="s">
        <v>247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</row>
    <row r="2" spans="1:35" ht="15.75">
      <c r="A2" s="150" t="s">
        <v>298</v>
      </c>
      <c r="B2" s="151"/>
      <c r="C2" s="151">
        <f>'Exchange rates'!C33</f>
        <v>14.288429000000001</v>
      </c>
      <c r="D2" s="151">
        <f>'Exchange rates'!C32</f>
        <v>14.811271</v>
      </c>
      <c r="E2" s="151">
        <f>'Exchange rates'!C31</f>
        <v>14.893646</v>
      </c>
      <c r="F2" s="151">
        <f>'Exchange rates'!C30</f>
        <v>15.041876</v>
      </c>
      <c r="G2" s="151">
        <f>'Exchange rates'!C29</f>
        <v>16.139358999999999</v>
      </c>
      <c r="H2" s="151">
        <f>'Exchange rates'!C28</f>
        <v>19.843609000000001</v>
      </c>
      <c r="I2" s="151">
        <f>'Exchange rates'!C27</f>
        <v>21.763497000000001</v>
      </c>
      <c r="J2" s="151">
        <f>'Exchange rates'!C26</f>
        <v>20.443417</v>
      </c>
      <c r="K2" s="151">
        <f>'Exchange rates'!C25</f>
        <v>26.268179</v>
      </c>
      <c r="L2" s="151">
        <f>'Exchange rates'!C24</f>
        <v>25.990867000000001</v>
      </c>
      <c r="M2" s="189">
        <f>'Exchange rates'!C23</f>
        <v>29.073046000000001</v>
      </c>
      <c r="N2" s="189">
        <f>'Exchange rates'!C22</f>
        <v>28.730891</v>
      </c>
      <c r="O2" s="189">
        <f>'Exchange rates'!C21</f>
        <v>29.771429999999999</v>
      </c>
      <c r="P2" s="189">
        <f>'Exchange rates'!C20</f>
        <v>37.354165000000002</v>
      </c>
      <c r="Q2" s="189">
        <f>'Exchange rates'!C19</f>
        <v>45.458930000000002</v>
      </c>
      <c r="R2" s="189">
        <f>'Exchange rates'!C18</f>
        <v>44.433608999999997</v>
      </c>
      <c r="S2" s="189">
        <f>'Exchange rates'!C17</f>
        <v>54.259295999999999</v>
      </c>
      <c r="T2" s="189">
        <f>'Exchange rates'!C16</f>
        <v>55.696345999999998</v>
      </c>
      <c r="U2" s="189">
        <f>'Exchange rates'!C15</f>
        <v>62.379555000000003</v>
      </c>
      <c r="V2" s="189">
        <f>'Exchange rates'!C14</f>
        <v>59.494475000000001</v>
      </c>
      <c r="W2" s="189">
        <f>'Exchange rates'!C13</f>
        <v>57.814433999999999</v>
      </c>
      <c r="X2" s="189">
        <f>'Exchange rates'!C12</f>
        <v>58.361262000000004</v>
      </c>
      <c r="Y2" s="189">
        <f>'Exchange rates'!C11</f>
        <v>59.604984999999999</v>
      </c>
      <c r="Z2" s="189">
        <f>'Exchange rates'!C10</f>
        <v>60.263894999999998</v>
      </c>
      <c r="AA2" s="189">
        <f>'Exchange rates'!C9</f>
        <v>60.674821000000001</v>
      </c>
      <c r="AB2" s="189">
        <f>'Exchange rates'!C8</f>
        <v>70.619783999999996</v>
      </c>
      <c r="AC2" s="189">
        <f>'Exchange rates'!C7</f>
        <v>81.598060000000004</v>
      </c>
      <c r="AD2" s="189">
        <f>'Exchange rates'!C6</f>
        <v>85.237962999999993</v>
      </c>
      <c r="AE2" s="189">
        <f>'Exchange rates'!C5</f>
        <v>86.359025000000003</v>
      </c>
      <c r="AF2" s="189">
        <f>'Exchange rates'!C4</f>
        <v>93.386073999999994</v>
      </c>
      <c r="AG2" s="189">
        <f>'Exchange rates'!C3</f>
        <v>101.611681</v>
      </c>
      <c r="AH2" s="204">
        <f>'Exchange rates'!C2</f>
        <v>101.048275</v>
      </c>
    </row>
    <row r="3" spans="1:35">
      <c r="A3" s="442" t="s">
        <v>0</v>
      </c>
      <c r="B3" s="442"/>
      <c r="C3" s="153">
        <v>30651</v>
      </c>
      <c r="D3" s="153">
        <v>31017</v>
      </c>
      <c r="E3" s="153">
        <v>31382</v>
      </c>
      <c r="F3" s="153">
        <v>31747</v>
      </c>
      <c r="G3" s="153">
        <v>32112</v>
      </c>
      <c r="H3" s="153">
        <v>32478</v>
      </c>
      <c r="I3" s="153">
        <v>32843</v>
      </c>
      <c r="J3" s="153">
        <v>33208</v>
      </c>
      <c r="K3" s="153">
        <v>33573</v>
      </c>
      <c r="L3" s="153">
        <v>33939</v>
      </c>
      <c r="M3" s="153">
        <v>34304</v>
      </c>
      <c r="N3" s="153">
        <v>34669</v>
      </c>
      <c r="O3" s="153">
        <v>35034</v>
      </c>
      <c r="P3" s="153">
        <v>35400</v>
      </c>
      <c r="Q3" s="153">
        <v>35765</v>
      </c>
      <c r="R3" s="153">
        <v>36130</v>
      </c>
      <c r="S3" s="153">
        <v>36495</v>
      </c>
      <c r="T3" s="153">
        <v>36861</v>
      </c>
      <c r="U3" s="153">
        <v>37226</v>
      </c>
      <c r="V3" s="153">
        <v>37591</v>
      </c>
      <c r="W3" s="153">
        <v>37956</v>
      </c>
      <c r="X3" s="153">
        <v>38322</v>
      </c>
      <c r="Y3" s="153">
        <v>38687</v>
      </c>
      <c r="Z3" s="153">
        <v>39052</v>
      </c>
      <c r="AA3" s="153">
        <v>39417</v>
      </c>
      <c r="AB3" s="153">
        <v>39783</v>
      </c>
      <c r="AC3" s="153">
        <v>40148</v>
      </c>
      <c r="AD3" s="153">
        <v>40513</v>
      </c>
      <c r="AE3" s="153">
        <v>40878</v>
      </c>
      <c r="AF3" s="153">
        <v>41244</v>
      </c>
      <c r="AG3" s="153">
        <v>41609</v>
      </c>
      <c r="AH3" s="205">
        <v>42003</v>
      </c>
      <c r="AI3" s="152" t="s">
        <v>16</v>
      </c>
    </row>
    <row r="4" spans="1:35">
      <c r="A4" s="436" t="s">
        <v>249</v>
      </c>
      <c r="B4" s="167" t="s">
        <v>17</v>
      </c>
      <c r="C4" s="190">
        <v>0</v>
      </c>
      <c r="D4" s="190">
        <v>0.52</v>
      </c>
      <c r="E4" s="190">
        <v>1.38</v>
      </c>
      <c r="F4" s="190">
        <v>2.12</v>
      </c>
      <c r="G4" s="190">
        <v>3.3511660000000001</v>
      </c>
      <c r="H4" s="190">
        <v>4.82</v>
      </c>
      <c r="I4" s="190">
        <v>7.6400000000000006</v>
      </c>
      <c r="J4" s="190">
        <v>10.405999999999999</v>
      </c>
      <c r="K4" s="190">
        <v>13.660999999999998</v>
      </c>
      <c r="L4" s="190">
        <v>17.787599999999998</v>
      </c>
      <c r="M4" s="190">
        <v>23.410838999999996</v>
      </c>
      <c r="N4" s="190">
        <v>33.897176999999999</v>
      </c>
      <c r="O4" s="190">
        <v>50.122177000000001</v>
      </c>
      <c r="P4" s="190">
        <v>67.844358999999997</v>
      </c>
      <c r="Q4" s="190">
        <v>86.601716999999994</v>
      </c>
      <c r="R4" s="190">
        <v>113.09934699999999</v>
      </c>
      <c r="S4" s="190">
        <v>131.40386000000001</v>
      </c>
      <c r="T4" s="190">
        <v>152.436712</v>
      </c>
      <c r="U4" s="190">
        <v>187.15009699999999</v>
      </c>
      <c r="V4" s="190">
        <v>214.49246599999998</v>
      </c>
      <c r="W4" s="190">
        <v>232.68807499999997</v>
      </c>
      <c r="X4" s="190">
        <v>255.77047199999998</v>
      </c>
      <c r="Y4" s="190">
        <v>286.66726699999998</v>
      </c>
      <c r="Z4" s="190">
        <v>326.90143399999999</v>
      </c>
      <c r="AA4" s="190">
        <v>405.65</v>
      </c>
      <c r="AB4" s="190">
        <v>438.99700000000001</v>
      </c>
      <c r="AC4" s="190">
        <v>474.46</v>
      </c>
      <c r="AD4" s="190">
        <v>524.33000000000004</v>
      </c>
      <c r="AE4" s="190">
        <v>594</v>
      </c>
      <c r="AF4" s="191">
        <v>748.18999999999994</v>
      </c>
      <c r="AG4" s="185">
        <v>693.13645306914987</v>
      </c>
      <c r="AH4" s="185">
        <f>'2. Overall cum progress Dec)'!M15</f>
        <v>717.94070099999999</v>
      </c>
    </row>
    <row r="5" spans="1:35">
      <c r="A5" s="436"/>
      <c r="B5" s="169" t="s">
        <v>18</v>
      </c>
      <c r="C5" s="190">
        <v>0.66274999999999995</v>
      </c>
      <c r="D5" s="190">
        <v>5.87</v>
      </c>
      <c r="E5" s="190">
        <v>10.530000000000001</v>
      </c>
      <c r="F5" s="190">
        <v>17.96</v>
      </c>
      <c r="G5" s="190">
        <v>34.340000000000003</v>
      </c>
      <c r="H5" s="190">
        <v>51.33</v>
      </c>
      <c r="I5" s="190">
        <v>68.41</v>
      </c>
      <c r="J5" s="190">
        <v>86.44</v>
      </c>
      <c r="K5" s="190">
        <v>104.15009999999999</v>
      </c>
      <c r="L5" s="190">
        <v>127.39009999999999</v>
      </c>
      <c r="M5" s="190">
        <v>143.040166</v>
      </c>
      <c r="N5" s="190">
        <v>181.25131299999998</v>
      </c>
      <c r="O5" s="190">
        <v>216.154313</v>
      </c>
      <c r="P5" s="190">
        <v>261.67672499999998</v>
      </c>
      <c r="Q5" s="190">
        <v>310.013937</v>
      </c>
      <c r="R5" s="190">
        <v>365.60872499999999</v>
      </c>
      <c r="S5" s="190">
        <v>427.18954600000001</v>
      </c>
      <c r="T5" s="190">
        <v>488.12429700000001</v>
      </c>
      <c r="U5" s="190">
        <v>554.72024899999997</v>
      </c>
      <c r="V5" s="190">
        <v>628.37888399999997</v>
      </c>
      <c r="W5" s="190">
        <v>672.90471700000001</v>
      </c>
      <c r="X5" s="190">
        <v>825.46499599999993</v>
      </c>
      <c r="Y5" s="190">
        <v>916.99944399999993</v>
      </c>
      <c r="Z5" s="190">
        <v>1058.2791649999999</v>
      </c>
      <c r="AA5" s="190">
        <v>1465.1</v>
      </c>
      <c r="AB5" s="190">
        <v>1601.626</v>
      </c>
      <c r="AC5" s="190">
        <v>1656.2</v>
      </c>
      <c r="AD5" s="190">
        <v>1832.35</v>
      </c>
      <c r="AE5" s="190">
        <v>1786</v>
      </c>
      <c r="AF5" s="191">
        <v>1820.3119999999997</v>
      </c>
      <c r="AG5" s="185">
        <v>1824.8696772975347</v>
      </c>
      <c r="AH5" s="185">
        <f>'2. Overall cum progress Dec)'!M16</f>
        <v>1970.516597</v>
      </c>
    </row>
    <row r="6" spans="1:35">
      <c r="A6" s="436"/>
      <c r="B6" s="164" t="s">
        <v>16</v>
      </c>
      <c r="C6" s="192">
        <f>SUM(C4:C5)</f>
        <v>0.66274999999999995</v>
      </c>
      <c r="D6" s="192">
        <f t="shared" ref="D6:AG6" si="0">SUM(D4:D5)</f>
        <v>6.3900000000000006</v>
      </c>
      <c r="E6" s="192">
        <f t="shared" si="0"/>
        <v>11.91</v>
      </c>
      <c r="F6" s="192">
        <f t="shared" si="0"/>
        <v>20.080000000000002</v>
      </c>
      <c r="G6" s="192">
        <f t="shared" si="0"/>
        <v>37.691166000000003</v>
      </c>
      <c r="H6" s="192">
        <f t="shared" si="0"/>
        <v>56.15</v>
      </c>
      <c r="I6" s="192">
        <f t="shared" si="0"/>
        <v>76.05</v>
      </c>
      <c r="J6" s="192">
        <f t="shared" si="0"/>
        <v>96.846000000000004</v>
      </c>
      <c r="K6" s="192">
        <f t="shared" si="0"/>
        <v>117.8111</v>
      </c>
      <c r="L6" s="192">
        <f t="shared" si="0"/>
        <v>145.17769999999999</v>
      </c>
      <c r="M6" s="192">
        <f t="shared" si="0"/>
        <v>166.45100500000001</v>
      </c>
      <c r="N6" s="192">
        <f t="shared" si="0"/>
        <v>215.14848999999998</v>
      </c>
      <c r="O6" s="192">
        <f t="shared" si="0"/>
        <v>266.27649000000002</v>
      </c>
      <c r="P6" s="192">
        <f t="shared" si="0"/>
        <v>329.52108399999997</v>
      </c>
      <c r="Q6" s="192">
        <f t="shared" si="0"/>
        <v>396.61565400000001</v>
      </c>
      <c r="R6" s="192">
        <f t="shared" si="0"/>
        <v>478.70807200000002</v>
      </c>
      <c r="S6" s="192">
        <f t="shared" si="0"/>
        <v>558.59340599999996</v>
      </c>
      <c r="T6" s="192">
        <f t="shared" si="0"/>
        <v>640.56100900000001</v>
      </c>
      <c r="U6" s="192">
        <f t="shared" si="0"/>
        <v>741.87034599999993</v>
      </c>
      <c r="V6" s="192">
        <f t="shared" si="0"/>
        <v>842.87134999999989</v>
      </c>
      <c r="W6" s="192">
        <f t="shared" si="0"/>
        <v>905.59279199999992</v>
      </c>
      <c r="X6" s="192">
        <f t="shared" si="0"/>
        <v>1081.2354679999999</v>
      </c>
      <c r="Y6" s="192">
        <f t="shared" si="0"/>
        <v>1203.6667109999999</v>
      </c>
      <c r="Z6" s="192">
        <f t="shared" si="0"/>
        <v>1385.1805989999998</v>
      </c>
      <c r="AA6" s="192">
        <f t="shared" si="0"/>
        <v>1870.75</v>
      </c>
      <c r="AB6" s="192">
        <f t="shared" si="0"/>
        <v>2040.623</v>
      </c>
      <c r="AC6" s="192">
        <f t="shared" si="0"/>
        <v>2130.66</v>
      </c>
      <c r="AD6" s="192">
        <f t="shared" si="0"/>
        <v>2356.6799999999998</v>
      </c>
      <c r="AE6" s="192">
        <f t="shared" si="0"/>
        <v>2380</v>
      </c>
      <c r="AF6" s="192">
        <f t="shared" si="0"/>
        <v>2568.5019999999995</v>
      </c>
      <c r="AG6" s="192">
        <f t="shared" si="0"/>
        <v>2518.0061303666844</v>
      </c>
      <c r="AH6" s="192">
        <f>SUM(AH4:AH5)</f>
        <v>2688.4572980000003</v>
      </c>
    </row>
    <row r="7" spans="1:35" ht="29.25">
      <c r="A7" s="193" t="s">
        <v>205</v>
      </c>
      <c r="B7" s="163" t="s">
        <v>250</v>
      </c>
      <c r="C7" s="194">
        <v>0</v>
      </c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4">
        <v>0</v>
      </c>
      <c r="Z7" s="194">
        <v>0</v>
      </c>
      <c r="AA7" s="194">
        <v>0</v>
      </c>
      <c r="AB7" s="194">
        <v>0</v>
      </c>
      <c r="AC7" s="194">
        <v>0</v>
      </c>
      <c r="AD7" s="194">
        <v>0</v>
      </c>
      <c r="AE7" s="194">
        <v>1106</v>
      </c>
      <c r="AF7" s="191">
        <v>1652.9050830000001</v>
      </c>
      <c r="AG7" s="185">
        <v>1877.3000830000001</v>
      </c>
      <c r="AH7" s="185">
        <f>'2. Overall cum progress Dec)'!M24</f>
        <v>2433.2606759999999</v>
      </c>
    </row>
    <row r="8" spans="1:35">
      <c r="A8" s="436" t="s">
        <v>20</v>
      </c>
      <c r="B8" s="167" t="s">
        <v>17</v>
      </c>
      <c r="C8" s="190">
        <v>0</v>
      </c>
      <c r="D8" s="190">
        <v>0</v>
      </c>
      <c r="E8" s="190">
        <v>0</v>
      </c>
      <c r="F8" s="190">
        <v>0</v>
      </c>
      <c r="G8" s="190">
        <v>0.72933599999999998</v>
      </c>
      <c r="H8" s="190">
        <v>2.6786989999999999</v>
      </c>
      <c r="I8" s="190">
        <v>3.9</v>
      </c>
      <c r="J8" s="190">
        <v>6.08</v>
      </c>
      <c r="K8" s="190">
        <v>8.0981000000000005</v>
      </c>
      <c r="L8" s="190">
        <v>11.086100000000002</v>
      </c>
      <c r="M8" s="190">
        <v>16.658100000000001</v>
      </c>
      <c r="N8" s="190">
        <v>27.8354</v>
      </c>
      <c r="O8" s="190">
        <v>51.955740000000006</v>
      </c>
      <c r="P8" s="190">
        <v>89.685465000000008</v>
      </c>
      <c r="Q8" s="190">
        <v>171.398079</v>
      </c>
      <c r="R8" s="190">
        <v>257.79349400000001</v>
      </c>
      <c r="S8" s="190">
        <v>393.65334400000006</v>
      </c>
      <c r="T8" s="190">
        <v>593.8265100000001</v>
      </c>
      <c r="U8" s="190">
        <v>837.80627000000004</v>
      </c>
      <c r="V8" s="190">
        <v>1129.6137100000001</v>
      </c>
      <c r="W8" s="190">
        <v>1564.6495610000002</v>
      </c>
      <c r="X8" s="190">
        <v>2141.8754820000004</v>
      </c>
      <c r="Y8" s="190">
        <v>2963.9566730000006</v>
      </c>
      <c r="Z8" s="190">
        <v>4199.2255530000002</v>
      </c>
      <c r="AA8" s="190">
        <v>8062.3</v>
      </c>
      <c r="AB8" s="190">
        <v>12289.19</v>
      </c>
      <c r="AC8" s="190">
        <v>16292.39</v>
      </c>
      <c r="AD8" s="190">
        <v>18466.13</v>
      </c>
      <c r="AE8" s="190">
        <v>26846</v>
      </c>
      <c r="AF8" s="191">
        <v>34781.01571</v>
      </c>
      <c r="AG8" s="185">
        <v>43222.323109999998</v>
      </c>
      <c r="AH8" s="185">
        <f>'2. Overall cum progress Dec)'!M25</f>
        <v>59267.145210000002</v>
      </c>
    </row>
    <row r="9" spans="1:35">
      <c r="A9" s="436"/>
      <c r="B9" s="169" t="s">
        <v>18</v>
      </c>
      <c r="C9" s="190">
        <v>0.71</v>
      </c>
      <c r="D9" s="190">
        <v>3.52</v>
      </c>
      <c r="E9" s="190">
        <v>8.57</v>
      </c>
      <c r="F9" s="190">
        <v>24.75</v>
      </c>
      <c r="G9" s="190">
        <v>50.017663999999996</v>
      </c>
      <c r="H9" s="190">
        <v>82.621300999999988</v>
      </c>
      <c r="I9" s="190">
        <v>111.5</v>
      </c>
      <c r="J9" s="190">
        <v>123.37</v>
      </c>
      <c r="K9" s="190">
        <v>132.99956500000002</v>
      </c>
      <c r="L9" s="190">
        <v>144.87455300000002</v>
      </c>
      <c r="M9" s="190">
        <v>153.21655300000003</v>
      </c>
      <c r="N9" s="190">
        <v>328.99442700000003</v>
      </c>
      <c r="O9" s="190">
        <v>441.10692700000004</v>
      </c>
      <c r="P9" s="190">
        <v>619.586547</v>
      </c>
      <c r="Q9" s="190">
        <v>941.10618299999999</v>
      </c>
      <c r="R9" s="190">
        <v>1624.0987719999998</v>
      </c>
      <c r="S9" s="190">
        <v>2801.8091079999999</v>
      </c>
      <c r="T9" s="190">
        <v>3773.813615</v>
      </c>
      <c r="U9" s="190">
        <v>4692.3594059999996</v>
      </c>
      <c r="V9" s="190">
        <v>5493.9082699999999</v>
      </c>
      <c r="W9" s="190">
        <v>6546.9565199999997</v>
      </c>
      <c r="X9" s="190">
        <v>8081.4465309999996</v>
      </c>
      <c r="Y9" s="190">
        <v>9857.6422309999998</v>
      </c>
      <c r="Z9" s="190">
        <v>12699.101413</v>
      </c>
      <c r="AA9" s="190">
        <v>19795.93</v>
      </c>
      <c r="AB9" s="190">
        <v>28557.16</v>
      </c>
      <c r="AC9" s="190">
        <v>35616.32</v>
      </c>
      <c r="AD9" s="190">
        <v>43669.73</v>
      </c>
      <c r="AE9" s="190">
        <v>46277</v>
      </c>
      <c r="AF9" s="191">
        <v>50357.762002000003</v>
      </c>
      <c r="AG9" s="185">
        <v>54470.853802000005</v>
      </c>
      <c r="AH9" s="185">
        <f>'2. Overall cum progress Dec)'!M26</f>
        <v>62392.939702000003</v>
      </c>
    </row>
    <row r="10" spans="1:35">
      <c r="A10" s="436"/>
      <c r="B10" s="164" t="s">
        <v>16</v>
      </c>
      <c r="C10" s="192">
        <f>SUM(C8:C9)</f>
        <v>0.71</v>
      </c>
      <c r="D10" s="192">
        <f t="shared" ref="D10:AH10" si="1">SUM(D8:D9)</f>
        <v>3.52</v>
      </c>
      <c r="E10" s="192">
        <f t="shared" si="1"/>
        <v>8.57</v>
      </c>
      <c r="F10" s="192">
        <f t="shared" si="1"/>
        <v>24.75</v>
      </c>
      <c r="G10" s="192">
        <f t="shared" si="1"/>
        <v>50.747</v>
      </c>
      <c r="H10" s="192">
        <f t="shared" si="1"/>
        <v>85.299999999999983</v>
      </c>
      <c r="I10" s="192">
        <f t="shared" si="1"/>
        <v>115.4</v>
      </c>
      <c r="J10" s="192">
        <f t="shared" si="1"/>
        <v>129.45000000000002</v>
      </c>
      <c r="K10" s="192">
        <f t="shared" si="1"/>
        <v>141.09766500000001</v>
      </c>
      <c r="L10" s="192">
        <f t="shared" si="1"/>
        <v>155.96065300000004</v>
      </c>
      <c r="M10" s="192">
        <f t="shared" si="1"/>
        <v>169.87465300000002</v>
      </c>
      <c r="N10" s="192">
        <f t="shared" si="1"/>
        <v>356.82982700000002</v>
      </c>
      <c r="O10" s="192">
        <f t="shared" si="1"/>
        <v>493.06266700000003</v>
      </c>
      <c r="P10" s="192">
        <f t="shared" si="1"/>
        <v>709.27201200000002</v>
      </c>
      <c r="Q10" s="192">
        <f t="shared" si="1"/>
        <v>1112.5042619999999</v>
      </c>
      <c r="R10" s="192">
        <f t="shared" si="1"/>
        <v>1881.8922659999998</v>
      </c>
      <c r="S10" s="192">
        <f t="shared" si="1"/>
        <v>3195.4624519999998</v>
      </c>
      <c r="T10" s="192">
        <f t="shared" si="1"/>
        <v>4367.6401249999999</v>
      </c>
      <c r="U10" s="192">
        <f t="shared" si="1"/>
        <v>5530.1656759999996</v>
      </c>
      <c r="V10" s="192">
        <f t="shared" si="1"/>
        <v>6623.5219799999995</v>
      </c>
      <c r="W10" s="192">
        <f t="shared" si="1"/>
        <v>8111.6060809999999</v>
      </c>
      <c r="X10" s="192">
        <f t="shared" si="1"/>
        <v>10223.322013000001</v>
      </c>
      <c r="Y10" s="192">
        <f t="shared" si="1"/>
        <v>12821.598904</v>
      </c>
      <c r="Z10" s="192">
        <f t="shared" si="1"/>
        <v>16898.326966000001</v>
      </c>
      <c r="AA10" s="192">
        <f t="shared" si="1"/>
        <v>27858.23</v>
      </c>
      <c r="AB10" s="192">
        <f t="shared" si="1"/>
        <v>40846.35</v>
      </c>
      <c r="AC10" s="192">
        <f t="shared" si="1"/>
        <v>51908.71</v>
      </c>
      <c r="AD10" s="192">
        <f t="shared" si="1"/>
        <v>62135.86</v>
      </c>
      <c r="AE10" s="192">
        <f t="shared" si="1"/>
        <v>73123</v>
      </c>
      <c r="AF10" s="192">
        <f t="shared" si="1"/>
        <v>85138.77771200001</v>
      </c>
      <c r="AG10" s="192">
        <f t="shared" si="1"/>
        <v>97693.176911999995</v>
      </c>
      <c r="AH10" s="192">
        <f t="shared" si="1"/>
        <v>121660.08491200001</v>
      </c>
    </row>
    <row r="11" spans="1:35">
      <c r="A11" s="438" t="s">
        <v>305</v>
      </c>
      <c r="B11" s="438"/>
      <c r="C11" s="190">
        <v>9.5</v>
      </c>
      <c r="D11" s="190">
        <v>28.82</v>
      </c>
      <c r="E11" s="190">
        <v>47.5</v>
      </c>
      <c r="F11" s="190">
        <v>65.12</v>
      </c>
      <c r="G11" s="190">
        <v>90.87</v>
      </c>
      <c r="H11" s="190">
        <v>124.28</v>
      </c>
      <c r="I11" s="190">
        <v>151</v>
      </c>
      <c r="J11" s="190">
        <v>189.054</v>
      </c>
      <c r="K11" s="190">
        <v>223.26499999999999</v>
      </c>
      <c r="L11" s="190">
        <v>252.05999999999997</v>
      </c>
      <c r="M11" s="190">
        <v>278.82417199999998</v>
      </c>
      <c r="N11" s="190">
        <v>306.35615199999995</v>
      </c>
      <c r="O11" s="190">
        <v>369.96915199999995</v>
      </c>
      <c r="P11" s="190">
        <v>462.86128099999996</v>
      </c>
      <c r="Q11" s="190">
        <v>610.54608699999994</v>
      </c>
      <c r="R11" s="190">
        <v>822.72373299999992</v>
      </c>
      <c r="S11" s="190">
        <v>1052.7613690000001</v>
      </c>
      <c r="T11" s="190">
        <v>1328.491342</v>
      </c>
      <c r="U11" s="190">
        <v>1636.4943720000001</v>
      </c>
      <c r="V11" s="190">
        <v>2310.2607330000001</v>
      </c>
      <c r="W11" s="190">
        <v>2775.4692789999999</v>
      </c>
      <c r="X11" s="190">
        <v>3825.75</v>
      </c>
      <c r="Y11" s="190">
        <v>4412.9717760000003</v>
      </c>
      <c r="Z11" s="190">
        <v>5698.9876720000002</v>
      </c>
      <c r="AA11" s="190">
        <v>7761.45</v>
      </c>
      <c r="AB11" s="190">
        <v>9194.25</v>
      </c>
      <c r="AC11" s="190">
        <v>10955.06</v>
      </c>
      <c r="AD11" s="190">
        <v>12171.84</v>
      </c>
      <c r="AE11" s="190">
        <v>16365</v>
      </c>
      <c r="AF11" s="191">
        <v>17467.013999999999</v>
      </c>
      <c r="AG11" s="185">
        <v>18809.671962</v>
      </c>
      <c r="AH11" s="185">
        <f>'2. Overall cum progress Dec)'!M42</f>
        <v>21088.156408000003</v>
      </c>
    </row>
    <row r="12" spans="1:35">
      <c r="A12" s="442" t="s">
        <v>0</v>
      </c>
      <c r="B12" s="442"/>
      <c r="C12" s="153">
        <v>30651</v>
      </c>
      <c r="D12" s="153">
        <v>31017</v>
      </c>
      <c r="E12" s="153">
        <v>31382</v>
      </c>
      <c r="F12" s="153">
        <v>31747</v>
      </c>
      <c r="G12" s="153">
        <v>32112</v>
      </c>
      <c r="H12" s="153">
        <v>32478</v>
      </c>
      <c r="I12" s="153">
        <v>32843</v>
      </c>
      <c r="J12" s="153">
        <v>33208</v>
      </c>
      <c r="K12" s="153">
        <v>33573</v>
      </c>
      <c r="L12" s="153">
        <v>33939</v>
      </c>
      <c r="M12" s="153">
        <v>34304</v>
      </c>
      <c r="N12" s="153">
        <v>34669</v>
      </c>
      <c r="O12" s="153">
        <v>35034</v>
      </c>
      <c r="P12" s="153">
        <v>35400</v>
      </c>
      <c r="Q12" s="153">
        <v>35765</v>
      </c>
      <c r="R12" s="153">
        <v>36130</v>
      </c>
      <c r="S12" s="153">
        <v>36495</v>
      </c>
      <c r="T12" s="153">
        <v>36861</v>
      </c>
      <c r="U12" s="153">
        <v>37226</v>
      </c>
      <c r="V12" s="153">
        <v>37591</v>
      </c>
      <c r="W12" s="153">
        <v>37956</v>
      </c>
      <c r="X12" s="153">
        <v>38322</v>
      </c>
      <c r="Y12" s="153">
        <v>38687</v>
      </c>
      <c r="Z12" s="153">
        <v>39052</v>
      </c>
      <c r="AA12" s="153">
        <v>39417</v>
      </c>
      <c r="AB12" s="153">
        <v>39783</v>
      </c>
      <c r="AC12" s="153">
        <v>40148</v>
      </c>
      <c r="AD12" s="153">
        <v>40513</v>
      </c>
      <c r="AE12" s="153">
        <v>40878</v>
      </c>
      <c r="AF12" s="153">
        <v>41244</v>
      </c>
      <c r="AG12" s="153">
        <v>41609</v>
      </c>
      <c r="AH12" s="205">
        <f>AH3</f>
        <v>42003</v>
      </c>
    </row>
    <row r="13" spans="1:35">
      <c r="A13" s="436" t="s">
        <v>249</v>
      </c>
      <c r="B13" s="167" t="s">
        <v>17</v>
      </c>
      <c r="C13" s="190">
        <v>0</v>
      </c>
      <c r="D13" s="190">
        <f t="shared" ref="D13:AH14" si="2">D4-C4</f>
        <v>0.52</v>
      </c>
      <c r="E13" s="190">
        <f t="shared" si="2"/>
        <v>0.85999999999999988</v>
      </c>
      <c r="F13" s="190">
        <f t="shared" si="2"/>
        <v>0.74000000000000021</v>
      </c>
      <c r="G13" s="190">
        <f t="shared" si="2"/>
        <v>1.231166</v>
      </c>
      <c r="H13" s="190">
        <f t="shared" si="2"/>
        <v>1.4688340000000002</v>
      </c>
      <c r="I13" s="190">
        <f t="shared" si="2"/>
        <v>2.8200000000000003</v>
      </c>
      <c r="J13" s="190">
        <f t="shared" si="2"/>
        <v>2.7659999999999982</v>
      </c>
      <c r="K13" s="190">
        <f t="shared" si="2"/>
        <v>3.254999999999999</v>
      </c>
      <c r="L13" s="190">
        <f t="shared" si="2"/>
        <v>4.1265999999999998</v>
      </c>
      <c r="M13" s="190">
        <f t="shared" si="2"/>
        <v>5.6232389999999981</v>
      </c>
      <c r="N13" s="190">
        <f t="shared" si="2"/>
        <v>10.486338000000003</v>
      </c>
      <c r="O13" s="190">
        <f t="shared" si="2"/>
        <v>16.225000000000001</v>
      </c>
      <c r="P13" s="190">
        <f t="shared" si="2"/>
        <v>17.722181999999997</v>
      </c>
      <c r="Q13" s="190">
        <f t="shared" si="2"/>
        <v>18.757357999999996</v>
      </c>
      <c r="R13" s="190">
        <f t="shared" si="2"/>
        <v>26.497630000000001</v>
      </c>
      <c r="S13" s="190">
        <f t="shared" si="2"/>
        <v>18.304513000000014</v>
      </c>
      <c r="T13" s="190">
        <f t="shared" si="2"/>
        <v>21.032851999999991</v>
      </c>
      <c r="U13" s="190">
        <f t="shared" si="2"/>
        <v>34.713384999999988</v>
      </c>
      <c r="V13" s="190">
        <f t="shared" si="2"/>
        <v>27.342368999999991</v>
      </c>
      <c r="W13" s="190">
        <f t="shared" si="2"/>
        <v>18.19560899999999</v>
      </c>
      <c r="X13" s="190">
        <f t="shared" si="2"/>
        <v>23.082397000000014</v>
      </c>
      <c r="Y13" s="190">
        <f t="shared" si="2"/>
        <v>30.896794999999997</v>
      </c>
      <c r="Z13" s="190">
        <f t="shared" si="2"/>
        <v>40.234167000000014</v>
      </c>
      <c r="AA13" s="190">
        <f t="shared" si="2"/>
        <v>78.748565999999983</v>
      </c>
      <c r="AB13" s="190">
        <f t="shared" si="2"/>
        <v>33.347000000000037</v>
      </c>
      <c r="AC13" s="190">
        <f t="shared" si="2"/>
        <v>35.462999999999965</v>
      </c>
      <c r="AD13" s="190">
        <f t="shared" si="2"/>
        <v>49.870000000000061</v>
      </c>
      <c r="AE13" s="190">
        <f t="shared" si="2"/>
        <v>69.669999999999959</v>
      </c>
      <c r="AF13" s="190">
        <f>AF4-AE4</f>
        <v>154.18999999999994</v>
      </c>
      <c r="AG13" s="190">
        <f t="shared" si="2"/>
        <v>-55.053546930850075</v>
      </c>
      <c r="AH13" s="190">
        <f t="shared" si="2"/>
        <v>24.804247930850124</v>
      </c>
      <c r="AI13" s="183">
        <f>SUM(C13:AH13)</f>
        <v>717.94070099999999</v>
      </c>
    </row>
    <row r="14" spans="1:35">
      <c r="A14" s="436"/>
      <c r="B14" s="169" t="s">
        <v>18</v>
      </c>
      <c r="C14" s="190">
        <v>0.66274999999999995</v>
      </c>
      <c r="D14" s="190">
        <f t="shared" si="2"/>
        <v>5.2072500000000002</v>
      </c>
      <c r="E14" s="190">
        <f t="shared" si="2"/>
        <v>4.660000000000001</v>
      </c>
      <c r="F14" s="190">
        <f t="shared" si="2"/>
        <v>7.43</v>
      </c>
      <c r="G14" s="190">
        <f t="shared" si="2"/>
        <v>16.380000000000003</v>
      </c>
      <c r="H14" s="190">
        <f t="shared" si="2"/>
        <v>16.989999999999995</v>
      </c>
      <c r="I14" s="190">
        <f t="shared" si="2"/>
        <v>17.079999999999998</v>
      </c>
      <c r="J14" s="190">
        <f t="shared" si="2"/>
        <v>18.03</v>
      </c>
      <c r="K14" s="190">
        <f t="shared" si="2"/>
        <v>17.710099999999997</v>
      </c>
      <c r="L14" s="190">
        <f t="shared" si="2"/>
        <v>23.239999999999995</v>
      </c>
      <c r="M14" s="190">
        <f t="shared" si="2"/>
        <v>15.65006600000001</v>
      </c>
      <c r="N14" s="190">
        <f t="shared" si="2"/>
        <v>38.211146999999983</v>
      </c>
      <c r="O14" s="190">
        <f t="shared" si="2"/>
        <v>34.90300000000002</v>
      </c>
      <c r="P14" s="190">
        <f t="shared" si="2"/>
        <v>45.522411999999974</v>
      </c>
      <c r="Q14" s="190">
        <f t="shared" si="2"/>
        <v>48.337212000000022</v>
      </c>
      <c r="R14" s="190">
        <f t="shared" si="2"/>
        <v>55.594787999999994</v>
      </c>
      <c r="S14" s="190">
        <f t="shared" si="2"/>
        <v>61.580821000000014</v>
      </c>
      <c r="T14" s="190">
        <f t="shared" si="2"/>
        <v>60.934751000000006</v>
      </c>
      <c r="U14" s="190">
        <f t="shared" si="2"/>
        <v>66.595951999999954</v>
      </c>
      <c r="V14" s="190">
        <f t="shared" si="2"/>
        <v>73.658635000000004</v>
      </c>
      <c r="W14" s="190">
        <f t="shared" si="2"/>
        <v>44.525833000000034</v>
      </c>
      <c r="X14" s="190">
        <f t="shared" si="2"/>
        <v>152.56027899999992</v>
      </c>
      <c r="Y14" s="190">
        <f t="shared" si="2"/>
        <v>91.534447999999998</v>
      </c>
      <c r="Z14" s="190">
        <f t="shared" si="2"/>
        <v>141.279721</v>
      </c>
      <c r="AA14" s="190">
        <f t="shared" si="2"/>
        <v>406.82083499999999</v>
      </c>
      <c r="AB14" s="190">
        <f t="shared" si="2"/>
        <v>136.52600000000007</v>
      </c>
      <c r="AC14" s="190">
        <f t="shared" si="2"/>
        <v>54.574000000000069</v>
      </c>
      <c r="AD14" s="190">
        <f t="shared" si="2"/>
        <v>176.14999999999986</v>
      </c>
      <c r="AE14" s="190">
        <f t="shared" si="2"/>
        <v>-46.349999999999909</v>
      </c>
      <c r="AF14" s="190">
        <f t="shared" si="2"/>
        <v>34.311999999999671</v>
      </c>
      <c r="AG14" s="190">
        <f t="shared" si="2"/>
        <v>4.557677297535065</v>
      </c>
      <c r="AH14" s="190">
        <f t="shared" si="2"/>
        <v>145.64691970246531</v>
      </c>
      <c r="AI14" s="183">
        <f>SUM(C14:AH14)</f>
        <v>1970.516597</v>
      </c>
    </row>
    <row r="15" spans="1:35">
      <c r="A15" s="436"/>
      <c r="B15" s="164" t="s">
        <v>16</v>
      </c>
      <c r="C15" s="192">
        <f>SUM(C13:C14)</f>
        <v>0.66274999999999995</v>
      </c>
      <c r="D15" s="192">
        <f t="shared" ref="D15:AI15" si="3">SUM(D13:D14)</f>
        <v>5.7272499999999997</v>
      </c>
      <c r="E15" s="192">
        <f t="shared" si="3"/>
        <v>5.5200000000000014</v>
      </c>
      <c r="F15" s="192">
        <f t="shared" si="3"/>
        <v>8.17</v>
      </c>
      <c r="G15" s="192">
        <f t="shared" si="3"/>
        <v>17.611166000000004</v>
      </c>
      <c r="H15" s="192">
        <f t="shared" si="3"/>
        <v>18.458833999999996</v>
      </c>
      <c r="I15" s="192">
        <f t="shared" si="3"/>
        <v>19.899999999999999</v>
      </c>
      <c r="J15" s="192">
        <f t="shared" si="3"/>
        <v>20.795999999999999</v>
      </c>
      <c r="K15" s="192">
        <f t="shared" si="3"/>
        <v>20.965099999999996</v>
      </c>
      <c r="L15" s="192">
        <f t="shared" si="3"/>
        <v>27.366599999999995</v>
      </c>
      <c r="M15" s="192">
        <f t="shared" si="3"/>
        <v>21.273305000000008</v>
      </c>
      <c r="N15" s="192">
        <f t="shared" si="3"/>
        <v>48.697484999999986</v>
      </c>
      <c r="O15" s="192">
        <f t="shared" si="3"/>
        <v>51.128000000000021</v>
      </c>
      <c r="P15" s="192">
        <f t="shared" si="3"/>
        <v>63.244593999999971</v>
      </c>
      <c r="Q15" s="192">
        <f t="shared" si="3"/>
        <v>67.094570000000019</v>
      </c>
      <c r="R15" s="192">
        <f t="shared" si="3"/>
        <v>82.092417999999995</v>
      </c>
      <c r="S15" s="192">
        <f t="shared" si="3"/>
        <v>79.885334000000029</v>
      </c>
      <c r="T15" s="192">
        <f t="shared" si="3"/>
        <v>81.967602999999997</v>
      </c>
      <c r="U15" s="192">
        <f t="shared" si="3"/>
        <v>101.30933699999994</v>
      </c>
      <c r="V15" s="192">
        <f t="shared" si="3"/>
        <v>101.00100399999999</v>
      </c>
      <c r="W15" s="192">
        <f t="shared" si="3"/>
        <v>62.721442000000025</v>
      </c>
      <c r="X15" s="192">
        <f t="shared" si="3"/>
        <v>175.64267599999994</v>
      </c>
      <c r="Y15" s="192">
        <f t="shared" si="3"/>
        <v>122.43124299999999</v>
      </c>
      <c r="Z15" s="192">
        <f t="shared" si="3"/>
        <v>181.51388800000001</v>
      </c>
      <c r="AA15" s="192">
        <f t="shared" si="3"/>
        <v>485.56940099999997</v>
      </c>
      <c r="AB15" s="192">
        <f t="shared" si="3"/>
        <v>169.8730000000001</v>
      </c>
      <c r="AC15" s="192">
        <f t="shared" si="3"/>
        <v>90.037000000000035</v>
      </c>
      <c r="AD15" s="192">
        <f t="shared" si="3"/>
        <v>226.01999999999992</v>
      </c>
      <c r="AE15" s="192">
        <f t="shared" si="3"/>
        <v>23.32000000000005</v>
      </c>
      <c r="AF15" s="192">
        <f t="shared" si="3"/>
        <v>188.50199999999961</v>
      </c>
      <c r="AG15" s="192">
        <f t="shared" si="3"/>
        <v>-50.49586963331501</v>
      </c>
      <c r="AH15" s="192">
        <f t="shared" ref="AH15" si="4">SUM(AH13:AH14)</f>
        <v>170.45116763331544</v>
      </c>
      <c r="AI15" s="192">
        <f t="shared" si="3"/>
        <v>2688.4572980000003</v>
      </c>
    </row>
    <row r="16" spans="1:35">
      <c r="A16" s="436" t="s">
        <v>259</v>
      </c>
      <c r="B16" s="167" t="s">
        <v>17</v>
      </c>
      <c r="C16" s="190">
        <f>C13/C$2</f>
        <v>0</v>
      </c>
      <c r="D16" s="190">
        <f t="shared" ref="D16:AG17" si="5">D13/D$2</f>
        <v>3.510839819216055E-2</v>
      </c>
      <c r="E16" s="190">
        <f t="shared" si="5"/>
        <v>5.7742744791973694E-2</v>
      </c>
      <c r="F16" s="190">
        <f t="shared" si="5"/>
        <v>4.9195991244709115E-2</v>
      </c>
      <c r="G16" s="190">
        <f t="shared" si="5"/>
        <v>7.6283450910287084E-2</v>
      </c>
      <c r="H16" s="190">
        <f t="shared" si="5"/>
        <v>7.4020507055949356E-2</v>
      </c>
      <c r="I16" s="190">
        <f t="shared" si="5"/>
        <v>0.12957476457023429</v>
      </c>
      <c r="J16" s="190">
        <f t="shared" si="5"/>
        <v>0.1353002778351583</v>
      </c>
      <c r="K16" s="190">
        <f t="shared" si="5"/>
        <v>0.1239141852962095</v>
      </c>
      <c r="L16" s="190">
        <f t="shared" si="5"/>
        <v>0.15877115603723413</v>
      </c>
      <c r="M16" s="190">
        <f t="shared" si="5"/>
        <v>0.19341760749802403</v>
      </c>
      <c r="N16" s="190">
        <f t="shared" si="5"/>
        <v>0.36498478240720078</v>
      </c>
      <c r="O16" s="190">
        <f t="shared" si="5"/>
        <v>0.54498557845558648</v>
      </c>
      <c r="P16" s="190">
        <f t="shared" si="5"/>
        <v>0.47443657220018159</v>
      </c>
      <c r="Q16" s="190">
        <f t="shared" si="5"/>
        <v>0.41262207447469607</v>
      </c>
      <c r="R16" s="190">
        <f t="shared" si="5"/>
        <v>0.59634206170378834</v>
      </c>
      <c r="S16" s="190">
        <f t="shared" si="5"/>
        <v>0.33735257088481235</v>
      </c>
      <c r="T16" s="190">
        <f t="shared" si="5"/>
        <v>0.37763432452103757</v>
      </c>
      <c r="U16" s="190">
        <f t="shared" si="5"/>
        <v>0.55648657641113319</v>
      </c>
      <c r="V16" s="190">
        <f t="shared" si="5"/>
        <v>0.45957828857217398</v>
      </c>
      <c r="W16" s="190">
        <f t="shared" si="5"/>
        <v>0.31472432991387567</v>
      </c>
      <c r="X16" s="190">
        <f t="shared" si="5"/>
        <v>0.39550887367720067</v>
      </c>
      <c r="Y16" s="190">
        <f t="shared" si="5"/>
        <v>0.51835924461687222</v>
      </c>
      <c r="Z16" s="190">
        <f t="shared" si="5"/>
        <v>0.66763303301255283</v>
      </c>
      <c r="AA16" s="190">
        <f t="shared" si="5"/>
        <v>1.2978788351102013</v>
      </c>
      <c r="AB16" s="190">
        <f t="shared" si="5"/>
        <v>0.47220478612622263</v>
      </c>
      <c r="AC16" s="190">
        <f t="shared" si="5"/>
        <v>0.43460592077801807</v>
      </c>
      <c r="AD16" s="190">
        <f t="shared" si="5"/>
        <v>0.58506794677859753</v>
      </c>
      <c r="AE16" s="190">
        <f t="shared" si="5"/>
        <v>0.80674833927316758</v>
      </c>
      <c r="AF16" s="190">
        <f t="shared" si="5"/>
        <v>1.6511027115242038</v>
      </c>
      <c r="AG16" s="190">
        <f>AG13/AG$2</f>
        <v>-0.54180332801353881</v>
      </c>
      <c r="AH16" s="190">
        <f t="shared" ref="AH16" si="6">AH13/AH$2</f>
        <v>0.24546928614912153</v>
      </c>
      <c r="AI16" s="183">
        <f>SUM(C16:AH16)</f>
        <v>12.005251892009044</v>
      </c>
    </row>
    <row r="17" spans="1:36">
      <c r="A17" s="436"/>
      <c r="B17" s="169" t="s">
        <v>18</v>
      </c>
      <c r="C17" s="190">
        <f>C14/C$2</f>
        <v>4.6383685708204864E-2</v>
      </c>
      <c r="D17" s="190">
        <f t="shared" si="5"/>
        <v>0.35157347401178468</v>
      </c>
      <c r="E17" s="190">
        <f t="shared" si="5"/>
        <v>0.31288510550069476</v>
      </c>
      <c r="F17" s="190">
        <f t="shared" si="5"/>
        <v>0.4939543445245792</v>
      </c>
      <c r="G17" s="190">
        <f t="shared" si="5"/>
        <v>1.0149101956279678</v>
      </c>
      <c r="H17" s="190">
        <f t="shared" si="5"/>
        <v>0.85619506008206447</v>
      </c>
      <c r="I17" s="190">
        <f t="shared" si="5"/>
        <v>0.7848003471133338</v>
      </c>
      <c r="J17" s="190">
        <f t="shared" si="5"/>
        <v>0.88194649651768098</v>
      </c>
      <c r="K17" s="190">
        <f t="shared" si="5"/>
        <v>0.67420356774635948</v>
      </c>
      <c r="L17" s="190">
        <f t="shared" si="5"/>
        <v>0.89416024482753864</v>
      </c>
      <c r="M17" s="190">
        <f t="shared" si="5"/>
        <v>0.53830155945820091</v>
      </c>
      <c r="N17" s="190">
        <f t="shared" si="5"/>
        <v>1.3299673511691643</v>
      </c>
      <c r="O17" s="190">
        <f t="shared" si="5"/>
        <v>1.1723655867386962</v>
      </c>
      <c r="P17" s="190">
        <f t="shared" si="5"/>
        <v>1.2186703142741906</v>
      </c>
      <c r="Q17" s="190">
        <f t="shared" si="5"/>
        <v>1.0633160965293291</v>
      </c>
      <c r="R17" s="190">
        <f t="shared" si="5"/>
        <v>1.2511877664494908</v>
      </c>
      <c r="S17" s="190">
        <f t="shared" si="5"/>
        <v>1.1349358642618588</v>
      </c>
      <c r="T17" s="190">
        <f t="shared" si="5"/>
        <v>1.0940529384099993</v>
      </c>
      <c r="U17" s="190">
        <f t="shared" si="5"/>
        <v>1.0675926110726495</v>
      </c>
      <c r="V17" s="190">
        <f t="shared" si="5"/>
        <v>1.2380752162280615</v>
      </c>
      <c r="W17" s="190">
        <f t="shared" si="5"/>
        <v>0.77015080697668048</v>
      </c>
      <c r="X17" s="190">
        <f t="shared" si="5"/>
        <v>2.6140675127964146</v>
      </c>
      <c r="Y17" s="190">
        <f t="shared" si="5"/>
        <v>1.535684439816569</v>
      </c>
      <c r="Z17" s="190">
        <f t="shared" si="5"/>
        <v>2.3443509749909128</v>
      </c>
      <c r="AA17" s="190">
        <f t="shared" si="5"/>
        <v>6.7049367150172552</v>
      </c>
      <c r="AB17" s="190">
        <f t="shared" si="5"/>
        <v>1.9332542846633469</v>
      </c>
      <c r="AC17" s="190">
        <f t="shared" si="5"/>
        <v>0.6688149203547249</v>
      </c>
      <c r="AD17" s="190">
        <f t="shared" si="5"/>
        <v>2.0665674518758723</v>
      </c>
      <c r="AE17" s="190">
        <f t="shared" si="5"/>
        <v>-0.53671286816867037</v>
      </c>
      <c r="AF17" s="190">
        <f t="shared" si="5"/>
        <v>0.3674209497231854</v>
      </c>
      <c r="AG17" s="190">
        <f t="shared" si="5"/>
        <v>4.4853871648231708E-2</v>
      </c>
      <c r="AH17" s="190">
        <f t="shared" ref="AH17" si="7">AH14/AH$2</f>
        <v>1.4413597827619058</v>
      </c>
      <c r="AI17" s="183">
        <f>SUM(C17:AH17)</f>
        <v>37.374226668708275</v>
      </c>
    </row>
    <row r="18" spans="1:36">
      <c r="A18" s="436"/>
      <c r="B18" s="164" t="s">
        <v>16</v>
      </c>
      <c r="C18" s="192">
        <f>C17+C16</f>
        <v>4.6383685708204864E-2</v>
      </c>
      <c r="D18" s="192">
        <f t="shared" ref="D18:AI18" si="8">D17+D16</f>
        <v>0.38668187220394523</v>
      </c>
      <c r="E18" s="192">
        <f t="shared" si="8"/>
        <v>0.37062785029266843</v>
      </c>
      <c r="F18" s="192">
        <f t="shared" si="8"/>
        <v>0.54315033576928828</v>
      </c>
      <c r="G18" s="192">
        <f t="shared" si="8"/>
        <v>1.0911936465382548</v>
      </c>
      <c r="H18" s="192">
        <f t="shared" si="8"/>
        <v>0.93021556713801379</v>
      </c>
      <c r="I18" s="192">
        <f t="shared" si="8"/>
        <v>0.91437511168356811</v>
      </c>
      <c r="J18" s="192">
        <f t="shared" si="8"/>
        <v>1.0172467743528393</v>
      </c>
      <c r="K18" s="192">
        <f t="shared" si="8"/>
        <v>0.79811775304256893</v>
      </c>
      <c r="L18" s="192">
        <f t="shared" si="8"/>
        <v>1.0529314008647728</v>
      </c>
      <c r="M18" s="192">
        <f t="shared" si="8"/>
        <v>0.73171916695622496</v>
      </c>
      <c r="N18" s="192">
        <f t="shared" si="8"/>
        <v>1.6949521335763651</v>
      </c>
      <c r="O18" s="192">
        <f t="shared" si="8"/>
        <v>1.7173511651942825</v>
      </c>
      <c r="P18" s="192">
        <f t="shared" si="8"/>
        <v>1.6931068864743721</v>
      </c>
      <c r="Q18" s="192">
        <f t="shared" si="8"/>
        <v>1.4759381710040251</v>
      </c>
      <c r="R18" s="192">
        <f t="shared" si="8"/>
        <v>1.847529828153279</v>
      </c>
      <c r="S18" s="192">
        <f t="shared" si="8"/>
        <v>1.4722884351466712</v>
      </c>
      <c r="T18" s="192">
        <f t="shared" si="8"/>
        <v>1.4716872629310369</v>
      </c>
      <c r="U18" s="192">
        <f t="shared" si="8"/>
        <v>1.6240791874837828</v>
      </c>
      <c r="V18" s="192">
        <f t="shared" si="8"/>
        <v>1.6976535048002355</v>
      </c>
      <c r="W18" s="192">
        <f t="shared" si="8"/>
        <v>1.084875136890556</v>
      </c>
      <c r="X18" s="192">
        <f t="shared" si="8"/>
        <v>3.0095763864736154</v>
      </c>
      <c r="Y18" s="192">
        <f t="shared" si="8"/>
        <v>2.0540436844334411</v>
      </c>
      <c r="Z18" s="192">
        <f t="shared" si="8"/>
        <v>3.0119840080034654</v>
      </c>
      <c r="AA18" s="192">
        <f t="shared" si="8"/>
        <v>8.0028155501274565</v>
      </c>
      <c r="AB18" s="192">
        <f t="shared" si="8"/>
        <v>2.4054590707895693</v>
      </c>
      <c r="AC18" s="192">
        <f t="shared" si="8"/>
        <v>1.1034208411327429</v>
      </c>
      <c r="AD18" s="192">
        <f t="shared" si="8"/>
        <v>2.6516353986544701</v>
      </c>
      <c r="AE18" s="192">
        <f t="shared" si="8"/>
        <v>0.27003547110449722</v>
      </c>
      <c r="AF18" s="192">
        <f t="shared" si="8"/>
        <v>2.0185236612473894</v>
      </c>
      <c r="AG18" s="192">
        <f t="shared" si="8"/>
        <v>-0.49694945636530707</v>
      </c>
      <c r="AH18" s="192">
        <f t="shared" ref="AH18" si="9">AH17+AH16</f>
        <v>1.6868290689110272</v>
      </c>
      <c r="AI18" s="192">
        <f t="shared" si="8"/>
        <v>49.379478560717317</v>
      </c>
    </row>
    <row r="19" spans="1:36" ht="29.25">
      <c r="A19" s="193" t="s">
        <v>205</v>
      </c>
      <c r="B19" s="163" t="s">
        <v>250</v>
      </c>
      <c r="C19" s="194">
        <v>0</v>
      </c>
      <c r="D19" s="194">
        <f>D7-C7</f>
        <v>0</v>
      </c>
      <c r="E19" s="194">
        <f t="shared" ref="E19:AH19" si="10">E7-D7</f>
        <v>0</v>
      </c>
      <c r="F19" s="194">
        <f t="shared" si="10"/>
        <v>0</v>
      </c>
      <c r="G19" s="194">
        <f t="shared" si="10"/>
        <v>0</v>
      </c>
      <c r="H19" s="194">
        <f t="shared" si="10"/>
        <v>0</v>
      </c>
      <c r="I19" s="194">
        <f t="shared" si="10"/>
        <v>0</v>
      </c>
      <c r="J19" s="194">
        <f t="shared" si="10"/>
        <v>0</v>
      </c>
      <c r="K19" s="194">
        <f t="shared" si="10"/>
        <v>0</v>
      </c>
      <c r="L19" s="194">
        <f t="shared" si="10"/>
        <v>0</v>
      </c>
      <c r="M19" s="194">
        <f t="shared" si="10"/>
        <v>0</v>
      </c>
      <c r="N19" s="194">
        <f t="shared" si="10"/>
        <v>0</v>
      </c>
      <c r="O19" s="194">
        <f t="shared" si="10"/>
        <v>0</v>
      </c>
      <c r="P19" s="194">
        <f t="shared" si="10"/>
        <v>0</v>
      </c>
      <c r="Q19" s="194">
        <f t="shared" si="10"/>
        <v>0</v>
      </c>
      <c r="R19" s="194">
        <f t="shared" si="10"/>
        <v>0</v>
      </c>
      <c r="S19" s="194">
        <f t="shared" si="10"/>
        <v>0</v>
      </c>
      <c r="T19" s="194">
        <f t="shared" si="10"/>
        <v>0</v>
      </c>
      <c r="U19" s="194">
        <f t="shared" si="10"/>
        <v>0</v>
      </c>
      <c r="V19" s="194">
        <f t="shared" si="10"/>
        <v>0</v>
      </c>
      <c r="W19" s="194">
        <f t="shared" si="10"/>
        <v>0</v>
      </c>
      <c r="X19" s="194">
        <f t="shared" si="10"/>
        <v>0</v>
      </c>
      <c r="Y19" s="194">
        <f t="shared" si="10"/>
        <v>0</v>
      </c>
      <c r="Z19" s="194">
        <f t="shared" si="10"/>
        <v>0</v>
      </c>
      <c r="AA19" s="194">
        <f t="shared" si="10"/>
        <v>0</v>
      </c>
      <c r="AB19" s="194">
        <f t="shared" si="10"/>
        <v>0</v>
      </c>
      <c r="AC19" s="194">
        <f t="shared" si="10"/>
        <v>0</v>
      </c>
      <c r="AD19" s="194">
        <f t="shared" si="10"/>
        <v>0</v>
      </c>
      <c r="AE19" s="194">
        <f t="shared" si="10"/>
        <v>1106</v>
      </c>
      <c r="AF19" s="194">
        <f t="shared" si="10"/>
        <v>546.9050830000001</v>
      </c>
      <c r="AG19" s="194">
        <f t="shared" si="10"/>
        <v>224.39499999999998</v>
      </c>
      <c r="AH19" s="194">
        <f t="shared" si="10"/>
        <v>555.96059299999979</v>
      </c>
      <c r="AI19" s="183">
        <f>SUM(C19:AH19)</f>
        <v>2433.2606759999999</v>
      </c>
    </row>
    <row r="20" spans="1:36" ht="29.25">
      <c r="A20" s="193" t="s">
        <v>205</v>
      </c>
      <c r="B20" s="163" t="s">
        <v>260</v>
      </c>
      <c r="C20" s="194">
        <f>C19/C$2</f>
        <v>0</v>
      </c>
      <c r="D20" s="194">
        <f t="shared" ref="D20:AG20" si="11">D19/D$2</f>
        <v>0</v>
      </c>
      <c r="E20" s="194">
        <f t="shared" si="11"/>
        <v>0</v>
      </c>
      <c r="F20" s="194">
        <f t="shared" si="11"/>
        <v>0</v>
      </c>
      <c r="G20" s="194">
        <f t="shared" si="11"/>
        <v>0</v>
      </c>
      <c r="H20" s="194">
        <f t="shared" si="11"/>
        <v>0</v>
      </c>
      <c r="I20" s="194">
        <f t="shared" si="11"/>
        <v>0</v>
      </c>
      <c r="J20" s="194">
        <f t="shared" si="11"/>
        <v>0</v>
      </c>
      <c r="K20" s="194">
        <f t="shared" si="11"/>
        <v>0</v>
      </c>
      <c r="L20" s="194">
        <f t="shared" si="11"/>
        <v>0</v>
      </c>
      <c r="M20" s="194">
        <f t="shared" si="11"/>
        <v>0</v>
      </c>
      <c r="N20" s="194">
        <f t="shared" si="11"/>
        <v>0</v>
      </c>
      <c r="O20" s="194">
        <f t="shared" si="11"/>
        <v>0</v>
      </c>
      <c r="P20" s="194">
        <f t="shared" si="11"/>
        <v>0</v>
      </c>
      <c r="Q20" s="194">
        <f t="shared" si="11"/>
        <v>0</v>
      </c>
      <c r="R20" s="194">
        <f t="shared" si="11"/>
        <v>0</v>
      </c>
      <c r="S20" s="194">
        <f t="shared" si="11"/>
        <v>0</v>
      </c>
      <c r="T20" s="194">
        <f t="shared" si="11"/>
        <v>0</v>
      </c>
      <c r="U20" s="194">
        <f t="shared" si="11"/>
        <v>0</v>
      </c>
      <c r="V20" s="194">
        <f t="shared" si="11"/>
        <v>0</v>
      </c>
      <c r="W20" s="194">
        <f t="shared" si="11"/>
        <v>0</v>
      </c>
      <c r="X20" s="194">
        <f t="shared" si="11"/>
        <v>0</v>
      </c>
      <c r="Y20" s="194">
        <f t="shared" si="11"/>
        <v>0</v>
      </c>
      <c r="Z20" s="194">
        <f t="shared" si="11"/>
        <v>0</v>
      </c>
      <c r="AA20" s="194">
        <f t="shared" si="11"/>
        <v>0</v>
      </c>
      <c r="AB20" s="194">
        <f t="shared" si="11"/>
        <v>0</v>
      </c>
      <c r="AC20" s="194">
        <f t="shared" si="11"/>
        <v>0</v>
      </c>
      <c r="AD20" s="194">
        <f t="shared" si="11"/>
        <v>0</v>
      </c>
      <c r="AE20" s="194">
        <f t="shared" si="11"/>
        <v>12.806999615847909</v>
      </c>
      <c r="AF20" s="194">
        <f t="shared" si="11"/>
        <v>5.8563879984932248</v>
      </c>
      <c r="AG20" s="194">
        <f t="shared" si="11"/>
        <v>2.2083583087263361</v>
      </c>
      <c r="AH20" s="194">
        <f t="shared" ref="AH20" si="12">AH19/AH$2</f>
        <v>5.50193056734516</v>
      </c>
      <c r="AI20" s="183">
        <f>SUM(C20:AH20)</f>
        <v>26.373676490412628</v>
      </c>
    </row>
    <row r="21" spans="1:36">
      <c r="A21" s="436" t="s">
        <v>20</v>
      </c>
      <c r="B21" s="167" t="s">
        <v>17</v>
      </c>
      <c r="C21" s="190">
        <v>0</v>
      </c>
      <c r="D21" s="190">
        <f>D8-C8</f>
        <v>0</v>
      </c>
      <c r="E21" s="190">
        <f t="shared" ref="E21:AH21" si="13">E8-D8</f>
        <v>0</v>
      </c>
      <c r="F21" s="190">
        <f t="shared" si="13"/>
        <v>0</v>
      </c>
      <c r="G21" s="190">
        <f t="shared" si="13"/>
        <v>0.72933599999999998</v>
      </c>
      <c r="H21" s="190">
        <f t="shared" si="13"/>
        <v>1.949363</v>
      </c>
      <c r="I21" s="190">
        <f t="shared" si="13"/>
        <v>1.221301</v>
      </c>
      <c r="J21" s="190">
        <f t="shared" si="13"/>
        <v>2.1800000000000002</v>
      </c>
      <c r="K21" s="190">
        <f t="shared" si="13"/>
        <v>2.0181000000000004</v>
      </c>
      <c r="L21" s="190">
        <f t="shared" si="13"/>
        <v>2.9880000000000013</v>
      </c>
      <c r="M21" s="190">
        <f t="shared" si="13"/>
        <v>5.5719999999999992</v>
      </c>
      <c r="N21" s="190">
        <f t="shared" si="13"/>
        <v>11.177299999999999</v>
      </c>
      <c r="O21" s="190">
        <f t="shared" si="13"/>
        <v>24.120340000000006</v>
      </c>
      <c r="P21" s="190">
        <f t="shared" si="13"/>
        <v>37.729725000000002</v>
      </c>
      <c r="Q21" s="190">
        <f t="shared" si="13"/>
        <v>81.712613999999988</v>
      </c>
      <c r="R21" s="190">
        <f t="shared" si="13"/>
        <v>86.395415000000014</v>
      </c>
      <c r="S21" s="190">
        <f t="shared" si="13"/>
        <v>135.85985000000005</v>
      </c>
      <c r="T21" s="190">
        <f t="shared" si="13"/>
        <v>200.17316600000004</v>
      </c>
      <c r="U21" s="190">
        <f t="shared" si="13"/>
        <v>243.97975999999994</v>
      </c>
      <c r="V21" s="190">
        <f t="shared" si="13"/>
        <v>291.80744000000004</v>
      </c>
      <c r="W21" s="190">
        <f t="shared" si="13"/>
        <v>435.03585100000009</v>
      </c>
      <c r="X21" s="190">
        <f t="shared" si="13"/>
        <v>577.2259210000002</v>
      </c>
      <c r="Y21" s="190">
        <f t="shared" si="13"/>
        <v>822.08119100000022</v>
      </c>
      <c r="Z21" s="190">
        <f t="shared" si="13"/>
        <v>1235.2688799999996</v>
      </c>
      <c r="AA21" s="190">
        <f t="shared" si="13"/>
        <v>3863.074447</v>
      </c>
      <c r="AB21" s="190">
        <f t="shared" si="13"/>
        <v>4226.8900000000003</v>
      </c>
      <c r="AC21" s="190">
        <f t="shared" si="13"/>
        <v>4003.1999999999989</v>
      </c>
      <c r="AD21" s="190">
        <f t="shared" si="13"/>
        <v>2173.7400000000016</v>
      </c>
      <c r="AE21" s="190">
        <f t="shared" si="13"/>
        <v>8379.869999999999</v>
      </c>
      <c r="AF21" s="190">
        <f t="shared" si="13"/>
        <v>7935.0157099999997</v>
      </c>
      <c r="AG21" s="190">
        <f t="shared" si="13"/>
        <v>8441.3073999999979</v>
      </c>
      <c r="AH21" s="190">
        <f t="shared" si="13"/>
        <v>16044.822100000005</v>
      </c>
      <c r="AI21" s="183">
        <f>SUM(C21:AH21)</f>
        <v>59267.145210000002</v>
      </c>
      <c r="AJ21" s="182">
        <f>AI21/1000</f>
        <v>59.267145210000002</v>
      </c>
    </row>
    <row r="22" spans="1:36">
      <c r="A22" s="436"/>
      <c r="B22" s="169" t="s">
        <v>18</v>
      </c>
      <c r="C22" s="190">
        <v>0.71</v>
      </c>
      <c r="D22" s="190">
        <f t="shared" ref="D22:AH22" si="14">D9-C9</f>
        <v>2.81</v>
      </c>
      <c r="E22" s="190">
        <f t="shared" si="14"/>
        <v>5.0500000000000007</v>
      </c>
      <c r="F22" s="190">
        <f t="shared" si="14"/>
        <v>16.18</v>
      </c>
      <c r="G22" s="190">
        <f t="shared" si="14"/>
        <v>25.267663999999996</v>
      </c>
      <c r="H22" s="190">
        <f t="shared" si="14"/>
        <v>32.603636999999992</v>
      </c>
      <c r="I22" s="190">
        <f t="shared" si="14"/>
        <v>28.878699000000012</v>
      </c>
      <c r="J22" s="190">
        <f t="shared" si="14"/>
        <v>11.870000000000005</v>
      </c>
      <c r="K22" s="190">
        <f t="shared" si="14"/>
        <v>9.6295650000000137</v>
      </c>
      <c r="L22" s="190">
        <f t="shared" si="14"/>
        <v>11.874988000000002</v>
      </c>
      <c r="M22" s="190">
        <f t="shared" si="14"/>
        <v>8.342000000000013</v>
      </c>
      <c r="N22" s="190">
        <f t="shared" si="14"/>
        <v>175.777874</v>
      </c>
      <c r="O22" s="190">
        <f t="shared" si="14"/>
        <v>112.11250000000001</v>
      </c>
      <c r="P22" s="190">
        <f t="shared" si="14"/>
        <v>178.47961999999995</v>
      </c>
      <c r="Q22" s="190">
        <f t="shared" si="14"/>
        <v>321.51963599999999</v>
      </c>
      <c r="R22" s="190">
        <f t="shared" si="14"/>
        <v>682.99258899999984</v>
      </c>
      <c r="S22" s="190">
        <f t="shared" si="14"/>
        <v>1177.7103360000001</v>
      </c>
      <c r="T22" s="190">
        <f t="shared" si="14"/>
        <v>972.0045070000001</v>
      </c>
      <c r="U22" s="190">
        <f t="shared" si="14"/>
        <v>918.54579099999955</v>
      </c>
      <c r="V22" s="190">
        <f t="shared" si="14"/>
        <v>801.54886400000032</v>
      </c>
      <c r="W22" s="190">
        <f t="shared" si="14"/>
        <v>1053.0482499999998</v>
      </c>
      <c r="X22" s="190">
        <f t="shared" si="14"/>
        <v>1534.4900109999999</v>
      </c>
      <c r="Y22" s="190">
        <f t="shared" si="14"/>
        <v>1776.1957000000002</v>
      </c>
      <c r="Z22" s="190">
        <f t="shared" si="14"/>
        <v>2841.4591820000005</v>
      </c>
      <c r="AA22" s="190">
        <f t="shared" si="14"/>
        <v>7096.828587</v>
      </c>
      <c r="AB22" s="190">
        <f t="shared" si="14"/>
        <v>8761.23</v>
      </c>
      <c r="AC22" s="190">
        <f t="shared" si="14"/>
        <v>7059.16</v>
      </c>
      <c r="AD22" s="190">
        <f t="shared" si="14"/>
        <v>8053.4100000000035</v>
      </c>
      <c r="AE22" s="190">
        <f t="shared" si="14"/>
        <v>2607.2699999999968</v>
      </c>
      <c r="AF22" s="190">
        <f t="shared" si="14"/>
        <v>4080.7620020000031</v>
      </c>
      <c r="AG22" s="190">
        <f t="shared" si="14"/>
        <v>4113.091800000002</v>
      </c>
      <c r="AH22" s="190">
        <f t="shared" si="14"/>
        <v>7922.0858999999982</v>
      </c>
      <c r="AI22" s="183">
        <f>SUM(C22:AH22)</f>
        <v>62392.939702000003</v>
      </c>
    </row>
    <row r="23" spans="1:36">
      <c r="A23" s="436"/>
      <c r="B23" s="164" t="s">
        <v>16</v>
      </c>
      <c r="C23" s="192">
        <f>SUM(C21:C22)</f>
        <v>0.71</v>
      </c>
      <c r="D23" s="192">
        <f t="shared" ref="D23:AI23" si="15">SUM(D21:D22)</f>
        <v>2.81</v>
      </c>
      <c r="E23" s="192">
        <f t="shared" si="15"/>
        <v>5.0500000000000007</v>
      </c>
      <c r="F23" s="192">
        <f t="shared" si="15"/>
        <v>16.18</v>
      </c>
      <c r="G23" s="192">
        <f t="shared" si="15"/>
        <v>25.996999999999996</v>
      </c>
      <c r="H23" s="192">
        <f t="shared" si="15"/>
        <v>34.55299999999999</v>
      </c>
      <c r="I23" s="192">
        <f t="shared" si="15"/>
        <v>30.100000000000012</v>
      </c>
      <c r="J23" s="192">
        <f t="shared" si="15"/>
        <v>14.050000000000004</v>
      </c>
      <c r="K23" s="192">
        <f t="shared" si="15"/>
        <v>11.647665000000014</v>
      </c>
      <c r="L23" s="192">
        <f t="shared" si="15"/>
        <v>14.862988000000003</v>
      </c>
      <c r="M23" s="192">
        <f t="shared" si="15"/>
        <v>13.914000000000012</v>
      </c>
      <c r="N23" s="192">
        <f t="shared" si="15"/>
        <v>186.955174</v>
      </c>
      <c r="O23" s="192">
        <f t="shared" si="15"/>
        <v>136.23284000000001</v>
      </c>
      <c r="P23" s="192">
        <f t="shared" si="15"/>
        <v>216.20934499999996</v>
      </c>
      <c r="Q23" s="192">
        <f t="shared" si="15"/>
        <v>403.23224999999996</v>
      </c>
      <c r="R23" s="192">
        <f t="shared" si="15"/>
        <v>769.38800399999991</v>
      </c>
      <c r="S23" s="192">
        <f t="shared" si="15"/>
        <v>1313.5701860000001</v>
      </c>
      <c r="T23" s="192">
        <f t="shared" si="15"/>
        <v>1172.1776730000001</v>
      </c>
      <c r="U23" s="192">
        <f t="shared" si="15"/>
        <v>1162.5255509999995</v>
      </c>
      <c r="V23" s="192">
        <f t="shared" si="15"/>
        <v>1093.3563040000004</v>
      </c>
      <c r="W23" s="192">
        <f t="shared" si="15"/>
        <v>1488.0841009999999</v>
      </c>
      <c r="X23" s="192">
        <f t="shared" si="15"/>
        <v>2111.7159320000001</v>
      </c>
      <c r="Y23" s="192">
        <f t="shared" si="15"/>
        <v>2598.2768910000004</v>
      </c>
      <c r="Z23" s="192">
        <f t="shared" si="15"/>
        <v>4076.7280620000001</v>
      </c>
      <c r="AA23" s="192">
        <f t="shared" si="15"/>
        <v>10959.903033999999</v>
      </c>
      <c r="AB23" s="192">
        <f t="shared" si="15"/>
        <v>12988.119999999999</v>
      </c>
      <c r="AC23" s="192">
        <f t="shared" si="15"/>
        <v>11062.359999999999</v>
      </c>
      <c r="AD23" s="192">
        <f t="shared" si="15"/>
        <v>10227.150000000005</v>
      </c>
      <c r="AE23" s="192">
        <f t="shared" si="15"/>
        <v>10987.139999999996</v>
      </c>
      <c r="AF23" s="192">
        <f t="shared" si="15"/>
        <v>12015.777712000003</v>
      </c>
      <c r="AG23" s="192">
        <f t="shared" si="15"/>
        <v>12554.3992</v>
      </c>
      <c r="AH23" s="192">
        <f t="shared" ref="AH23" si="16">SUM(AH21:AH22)</f>
        <v>23966.908000000003</v>
      </c>
      <c r="AI23" s="192">
        <f t="shared" si="15"/>
        <v>121660.08491200001</v>
      </c>
      <c r="AJ23" s="182">
        <f>AI23/1000</f>
        <v>121.660084912</v>
      </c>
    </row>
    <row r="24" spans="1:36">
      <c r="A24" s="436" t="s">
        <v>261</v>
      </c>
      <c r="B24" s="167" t="s">
        <v>17</v>
      </c>
      <c r="C24" s="190">
        <f>C21/C$2</f>
        <v>0</v>
      </c>
      <c r="D24" s="190">
        <f t="shared" ref="D24:AG24" si="17">D21/D$2</f>
        <v>0</v>
      </c>
      <c r="E24" s="190">
        <f t="shared" si="17"/>
        <v>0</v>
      </c>
      <c r="F24" s="190">
        <f t="shared" si="17"/>
        <v>0</v>
      </c>
      <c r="G24" s="190">
        <f t="shared" si="17"/>
        <v>4.5189898805770415E-2</v>
      </c>
      <c r="H24" s="190">
        <f t="shared" si="17"/>
        <v>9.8236313767319242E-2</v>
      </c>
      <c r="I24" s="190">
        <f t="shared" si="17"/>
        <v>5.6116946646947406E-2</v>
      </c>
      <c r="J24" s="190">
        <f t="shared" si="17"/>
        <v>0.10663579381079005</v>
      </c>
      <c r="K24" s="190">
        <f t="shared" si="17"/>
        <v>7.6826794883649921E-2</v>
      </c>
      <c r="L24" s="190">
        <f t="shared" si="17"/>
        <v>0.11496346004925503</v>
      </c>
      <c r="M24" s="190">
        <f t="shared" si="17"/>
        <v>0.19165518466830062</v>
      </c>
      <c r="N24" s="190">
        <f t="shared" si="17"/>
        <v>0.38903422800218757</v>
      </c>
      <c r="O24" s="190">
        <f t="shared" si="17"/>
        <v>0.81018412619078117</v>
      </c>
      <c r="P24" s="190">
        <f t="shared" si="17"/>
        <v>1.0100540327966105</v>
      </c>
      <c r="Q24" s="190">
        <f t="shared" si="17"/>
        <v>1.7975041207525118</v>
      </c>
      <c r="R24" s="190">
        <f t="shared" si="17"/>
        <v>1.944370870257242</v>
      </c>
      <c r="S24" s="190">
        <f t="shared" si="17"/>
        <v>2.5038999768813817</v>
      </c>
      <c r="T24" s="190">
        <f t="shared" si="17"/>
        <v>3.5940089498869465</v>
      </c>
      <c r="U24" s="190">
        <f t="shared" si="17"/>
        <v>3.9112135378330275</v>
      </c>
      <c r="V24" s="190">
        <f t="shared" si="17"/>
        <v>4.9047821667474167</v>
      </c>
      <c r="W24" s="190">
        <f t="shared" si="17"/>
        <v>7.5246927263873253</v>
      </c>
      <c r="X24" s="190">
        <f t="shared" si="17"/>
        <v>9.8905661258661635</v>
      </c>
      <c r="Y24" s="190">
        <f t="shared" si="17"/>
        <v>13.792154985023489</v>
      </c>
      <c r="Z24" s="190">
        <f t="shared" si="17"/>
        <v>20.497660829921458</v>
      </c>
      <c r="AA24" s="190">
        <f t="shared" si="17"/>
        <v>63.668493509029055</v>
      </c>
      <c r="AB24" s="190">
        <f t="shared" si="17"/>
        <v>59.85419043479375</v>
      </c>
      <c r="AC24" s="190">
        <f t="shared" si="17"/>
        <v>49.059989906622768</v>
      </c>
      <c r="AD24" s="190">
        <f t="shared" si="17"/>
        <v>25.502017217375336</v>
      </c>
      <c r="AE24" s="190">
        <f t="shared" si="17"/>
        <v>97.035254856107954</v>
      </c>
      <c r="AF24" s="190">
        <f t="shared" si="17"/>
        <v>84.970010732006998</v>
      </c>
      <c r="AG24" s="190">
        <f t="shared" si="17"/>
        <v>83.074183173881337</v>
      </c>
      <c r="AH24" s="190">
        <f t="shared" ref="AH24" si="18">AH21/AH$2</f>
        <v>158.7837308454796</v>
      </c>
      <c r="AI24" s="183">
        <f>SUM(C24:AH24)</f>
        <v>695.20762174447532</v>
      </c>
      <c r="AJ24" s="182">
        <f>AI24/1000</f>
        <v>0.69520762174447537</v>
      </c>
    </row>
    <row r="25" spans="1:36">
      <c r="A25" s="436"/>
      <c r="B25" s="169" t="s">
        <v>18</v>
      </c>
      <c r="C25" s="190">
        <f t="shared" ref="C25:AG25" si="19">C22/C$2</f>
        <v>4.9690557303395631E-2</v>
      </c>
      <c r="D25" s="190">
        <f t="shared" si="19"/>
        <v>0.18972038253840606</v>
      </c>
      <c r="E25" s="190">
        <f t="shared" si="19"/>
        <v>0.33907076883658982</v>
      </c>
      <c r="F25" s="190">
        <f t="shared" si="19"/>
        <v>1.0756637004586396</v>
      </c>
      <c r="G25" s="190">
        <f t="shared" si="19"/>
        <v>1.5655927846948567</v>
      </c>
      <c r="H25" s="190">
        <f t="shared" si="19"/>
        <v>1.6430296021252984</v>
      </c>
      <c r="I25" s="190">
        <f t="shared" si="19"/>
        <v>1.326932845397043</v>
      </c>
      <c r="J25" s="190">
        <f t="shared" si="19"/>
        <v>0.58062700574957726</v>
      </c>
      <c r="K25" s="190">
        <f t="shared" si="19"/>
        <v>0.36658669792070525</v>
      </c>
      <c r="L25" s="190">
        <f t="shared" si="19"/>
        <v>0.45689079937194865</v>
      </c>
      <c r="M25" s="190">
        <f t="shared" si="19"/>
        <v>0.28693243907088417</v>
      </c>
      <c r="N25" s="190">
        <f t="shared" si="19"/>
        <v>6.1180794567074166</v>
      </c>
      <c r="O25" s="190">
        <f t="shared" si="19"/>
        <v>3.7657747713159906</v>
      </c>
      <c r="P25" s="190">
        <f t="shared" si="19"/>
        <v>4.7780380045973443</v>
      </c>
      <c r="Q25" s="190">
        <f t="shared" si="19"/>
        <v>7.0727497545586751</v>
      </c>
      <c r="R25" s="190">
        <f t="shared" si="19"/>
        <v>15.371080683542944</v>
      </c>
      <c r="S25" s="190">
        <f t="shared" si="19"/>
        <v>21.705226990044252</v>
      </c>
      <c r="T25" s="190">
        <f t="shared" si="19"/>
        <v>17.451854148564792</v>
      </c>
      <c r="U25" s="190">
        <f t="shared" si="19"/>
        <v>14.725109709423215</v>
      </c>
      <c r="V25" s="190">
        <f t="shared" si="19"/>
        <v>13.472660511753407</v>
      </c>
      <c r="W25" s="190">
        <f t="shared" si="19"/>
        <v>18.214279326854601</v>
      </c>
      <c r="X25" s="190">
        <f t="shared" si="19"/>
        <v>26.292954580043176</v>
      </c>
      <c r="Y25" s="190">
        <f t="shared" si="19"/>
        <v>29.799448821268896</v>
      </c>
      <c r="Z25" s="190">
        <f t="shared" si="19"/>
        <v>47.150274339220864</v>
      </c>
      <c r="AA25" s="190">
        <f t="shared" si="19"/>
        <v>116.96496948874393</v>
      </c>
      <c r="AB25" s="190">
        <f t="shared" si="19"/>
        <v>124.06197674011577</v>
      </c>
      <c r="AC25" s="190">
        <f t="shared" si="19"/>
        <v>86.511370490916079</v>
      </c>
      <c r="AD25" s="190">
        <f t="shared" si="19"/>
        <v>94.481492946986592</v>
      </c>
      <c r="AE25" s="190">
        <f t="shared" si="19"/>
        <v>30.191054148654374</v>
      </c>
      <c r="AF25" s="190">
        <f t="shared" si="19"/>
        <v>43.697757355127742</v>
      </c>
      <c r="AG25" s="190">
        <f t="shared" si="19"/>
        <v>40.478533171791554</v>
      </c>
      <c r="AH25" s="190">
        <f t="shared" ref="AH25" si="20">AH22/AH$2</f>
        <v>78.399021655738295</v>
      </c>
      <c r="AI25" s="183">
        <f>SUM(C25:AH25)</f>
        <v>848.58444467943718</v>
      </c>
      <c r="AJ25" s="182">
        <f>AI25/1000</f>
        <v>0.84858444467943717</v>
      </c>
    </row>
    <row r="26" spans="1:36">
      <c r="A26" s="436"/>
      <c r="B26" s="164" t="s">
        <v>16</v>
      </c>
      <c r="C26" s="192">
        <f>SUM(C24:C25)</f>
        <v>4.9690557303395631E-2</v>
      </c>
      <c r="D26" s="192">
        <f t="shared" ref="D26:AI26" si="21">SUM(D24:D25)</f>
        <v>0.18972038253840606</v>
      </c>
      <c r="E26" s="192">
        <f t="shared" si="21"/>
        <v>0.33907076883658982</v>
      </c>
      <c r="F26" s="192">
        <f t="shared" si="21"/>
        <v>1.0756637004586396</v>
      </c>
      <c r="G26" s="192">
        <f t="shared" si="21"/>
        <v>1.6107826835006271</v>
      </c>
      <c r="H26" s="192">
        <f t="shared" si="21"/>
        <v>1.7412659158926176</v>
      </c>
      <c r="I26" s="192">
        <f t="shared" si="21"/>
        <v>1.3830497920439904</v>
      </c>
      <c r="J26" s="192">
        <f t="shared" si="21"/>
        <v>0.68726279956036729</v>
      </c>
      <c r="K26" s="192">
        <f t="shared" si="21"/>
        <v>0.44341349280435516</v>
      </c>
      <c r="L26" s="192">
        <f t="shared" si="21"/>
        <v>0.57185425942120371</v>
      </c>
      <c r="M26" s="192">
        <f t="shared" si="21"/>
        <v>0.47858762373918479</v>
      </c>
      <c r="N26" s="192">
        <f t="shared" si="21"/>
        <v>6.5071136847096041</v>
      </c>
      <c r="O26" s="192">
        <f t="shared" si="21"/>
        <v>4.575958897506772</v>
      </c>
      <c r="P26" s="192">
        <f t="shared" si="21"/>
        <v>5.7880920373939553</v>
      </c>
      <c r="Q26" s="192">
        <f t="shared" si="21"/>
        <v>8.870253875311187</v>
      </c>
      <c r="R26" s="192">
        <f t="shared" si="21"/>
        <v>17.315451553800187</v>
      </c>
      <c r="S26" s="192">
        <f t="shared" si="21"/>
        <v>24.209126966925634</v>
      </c>
      <c r="T26" s="192">
        <f t="shared" si="21"/>
        <v>21.04586309845174</v>
      </c>
      <c r="U26" s="192">
        <f t="shared" si="21"/>
        <v>18.636323247256243</v>
      </c>
      <c r="V26" s="192">
        <f t="shared" si="21"/>
        <v>18.377442678500824</v>
      </c>
      <c r="W26" s="192">
        <f t="shared" si="21"/>
        <v>25.738972053241927</v>
      </c>
      <c r="X26" s="192">
        <f t="shared" si="21"/>
        <v>36.183520705909338</v>
      </c>
      <c r="Y26" s="192">
        <f t="shared" si="21"/>
        <v>43.591603806292383</v>
      </c>
      <c r="Z26" s="192">
        <f t="shared" si="21"/>
        <v>67.647935169142329</v>
      </c>
      <c r="AA26" s="192">
        <f t="shared" si="21"/>
        <v>180.63346299777299</v>
      </c>
      <c r="AB26" s="192">
        <f t="shared" si="21"/>
        <v>183.9161671749095</v>
      </c>
      <c r="AC26" s="192">
        <f t="shared" si="21"/>
        <v>135.57136039753885</v>
      </c>
      <c r="AD26" s="192">
        <f t="shared" si="21"/>
        <v>119.98351016436193</v>
      </c>
      <c r="AE26" s="192">
        <f t="shared" si="21"/>
        <v>127.22630900476233</v>
      </c>
      <c r="AF26" s="192">
        <f t="shared" si="21"/>
        <v>128.66776808713473</v>
      </c>
      <c r="AG26" s="192">
        <f t="shared" si="21"/>
        <v>123.55271634567289</v>
      </c>
      <c r="AH26" s="192">
        <f t="shared" ref="AH26" si="22">SUM(AH24:AH25)</f>
        <v>237.18275250121789</v>
      </c>
      <c r="AI26" s="192">
        <f t="shared" si="21"/>
        <v>1543.7920664239125</v>
      </c>
      <c r="AJ26" s="182">
        <f>AI26/1000</f>
        <v>1.5437920664239124</v>
      </c>
    </row>
    <row r="27" spans="1:36">
      <c r="A27" s="438" t="s">
        <v>305</v>
      </c>
      <c r="B27" s="438"/>
      <c r="C27" s="190">
        <v>9.5</v>
      </c>
      <c r="D27" s="190">
        <f>D11-C11</f>
        <v>19.32</v>
      </c>
      <c r="E27" s="190">
        <f t="shared" ref="E27:AH27" si="23">E11-D11</f>
        <v>18.68</v>
      </c>
      <c r="F27" s="190">
        <f t="shared" si="23"/>
        <v>17.620000000000005</v>
      </c>
      <c r="G27" s="190">
        <f t="shared" si="23"/>
        <v>25.75</v>
      </c>
      <c r="H27" s="190">
        <f t="shared" si="23"/>
        <v>33.409999999999997</v>
      </c>
      <c r="I27" s="190">
        <f t="shared" si="23"/>
        <v>26.72</v>
      </c>
      <c r="J27" s="190">
        <f t="shared" si="23"/>
        <v>38.054000000000002</v>
      </c>
      <c r="K27" s="190">
        <f t="shared" si="23"/>
        <v>34.210999999999984</v>
      </c>
      <c r="L27" s="190">
        <f t="shared" si="23"/>
        <v>28.794999999999987</v>
      </c>
      <c r="M27" s="190">
        <f t="shared" si="23"/>
        <v>26.764172000000002</v>
      </c>
      <c r="N27" s="190">
        <f t="shared" si="23"/>
        <v>27.531979999999976</v>
      </c>
      <c r="O27" s="190">
        <f t="shared" si="23"/>
        <v>63.613</v>
      </c>
      <c r="P27" s="190">
        <f t="shared" si="23"/>
        <v>92.892129000000011</v>
      </c>
      <c r="Q27" s="190">
        <f t="shared" si="23"/>
        <v>147.68480599999998</v>
      </c>
      <c r="R27" s="190">
        <f t="shared" si="23"/>
        <v>212.17764599999998</v>
      </c>
      <c r="S27" s="190">
        <f t="shared" si="23"/>
        <v>230.03763600000013</v>
      </c>
      <c r="T27" s="190">
        <f t="shared" si="23"/>
        <v>275.72997299999997</v>
      </c>
      <c r="U27" s="190">
        <f t="shared" si="23"/>
        <v>308.00303000000008</v>
      </c>
      <c r="V27" s="190">
        <f t="shared" si="23"/>
        <v>673.76636099999996</v>
      </c>
      <c r="W27" s="190">
        <f t="shared" si="23"/>
        <v>465.20854599999984</v>
      </c>
      <c r="X27" s="190">
        <f t="shared" si="23"/>
        <v>1050.2807210000001</v>
      </c>
      <c r="Y27" s="190">
        <f t="shared" si="23"/>
        <v>587.22177600000032</v>
      </c>
      <c r="Z27" s="190">
        <f t="shared" si="23"/>
        <v>1286.0158959999999</v>
      </c>
      <c r="AA27" s="190">
        <f t="shared" si="23"/>
        <v>2062.4623279999996</v>
      </c>
      <c r="AB27" s="190">
        <f t="shared" si="23"/>
        <v>1432.8000000000002</v>
      </c>
      <c r="AC27" s="190">
        <f t="shared" si="23"/>
        <v>1760.8099999999995</v>
      </c>
      <c r="AD27" s="190">
        <f t="shared" si="23"/>
        <v>1216.7800000000007</v>
      </c>
      <c r="AE27" s="190">
        <f t="shared" si="23"/>
        <v>4193.16</v>
      </c>
      <c r="AF27" s="190">
        <f t="shared" si="23"/>
        <v>1102.0139999999992</v>
      </c>
      <c r="AG27" s="190">
        <f t="shared" si="23"/>
        <v>1342.6579620000011</v>
      </c>
      <c r="AH27" s="190">
        <f t="shared" si="23"/>
        <v>2278.4844460000022</v>
      </c>
      <c r="AI27" s="183">
        <f>SUM(C27:AH27)</f>
        <v>21088.156408000003</v>
      </c>
    </row>
    <row r="28" spans="1:36">
      <c r="A28" s="438" t="s">
        <v>308</v>
      </c>
      <c r="B28" s="438"/>
      <c r="C28" s="185">
        <f>C27/C$2</f>
        <v>0.66487365405951904</v>
      </c>
      <c r="D28" s="185">
        <f t="shared" ref="D28:AG28" si="24">D27/D$2</f>
        <v>1.3044120251395037</v>
      </c>
      <c r="E28" s="185">
        <f t="shared" si="24"/>
        <v>1.2542261310628706</v>
      </c>
      <c r="F28" s="185">
        <f t="shared" si="24"/>
        <v>1.1713964401780739</v>
      </c>
      <c r="G28" s="185">
        <f t="shared" si="24"/>
        <v>1.5954784821379835</v>
      </c>
      <c r="H28" s="185">
        <f t="shared" si="24"/>
        <v>1.6836655066122295</v>
      </c>
      <c r="I28" s="185">
        <f t="shared" si="24"/>
        <v>1.227743868552007</v>
      </c>
      <c r="J28" s="185">
        <f t="shared" si="24"/>
        <v>1.8614305035210112</v>
      </c>
      <c r="K28" s="185">
        <f t="shared" si="24"/>
        <v>1.302374252893586</v>
      </c>
      <c r="L28" s="185">
        <f t="shared" si="24"/>
        <v>1.1078891673756011</v>
      </c>
      <c r="M28" s="185">
        <f t="shared" si="24"/>
        <v>0.92058369116190997</v>
      </c>
      <c r="N28" s="185">
        <f t="shared" si="24"/>
        <v>0.95827101220076938</v>
      </c>
      <c r="O28" s="185">
        <f t="shared" si="24"/>
        <v>2.1367129492940045</v>
      </c>
      <c r="P28" s="185">
        <f t="shared" si="24"/>
        <v>2.4867944177041572</v>
      </c>
      <c r="Q28" s="185">
        <f t="shared" si="24"/>
        <v>3.2487523573476098</v>
      </c>
      <c r="R28" s="185">
        <f t="shared" si="24"/>
        <v>4.7751612073644525</v>
      </c>
      <c r="S28" s="185">
        <f t="shared" si="24"/>
        <v>4.2395986118212834</v>
      </c>
      <c r="T28" s="185">
        <f t="shared" si="24"/>
        <v>4.9505935811300796</v>
      </c>
      <c r="U28" s="185">
        <f t="shared" si="24"/>
        <v>4.9375637578690661</v>
      </c>
      <c r="V28" s="185">
        <f t="shared" si="24"/>
        <v>11.324855980324223</v>
      </c>
      <c r="W28" s="185">
        <f t="shared" si="24"/>
        <v>8.0465813433372002</v>
      </c>
      <c r="X28" s="185">
        <f t="shared" si="24"/>
        <v>17.996196192604607</v>
      </c>
      <c r="Y28" s="185">
        <f t="shared" si="24"/>
        <v>9.8518903410511776</v>
      </c>
      <c r="Z28" s="185">
        <f t="shared" si="24"/>
        <v>21.3397407519046</v>
      </c>
      <c r="AA28" s="185">
        <f t="shared" si="24"/>
        <v>33.992062836081537</v>
      </c>
      <c r="AB28" s="185">
        <f t="shared" si="24"/>
        <v>20.288932064703005</v>
      </c>
      <c r="AC28" s="185">
        <f t="shared" si="24"/>
        <v>21.579066953307461</v>
      </c>
      <c r="AD28" s="185">
        <f t="shared" si="24"/>
        <v>14.275094772032512</v>
      </c>
      <c r="AE28" s="185">
        <f t="shared" si="24"/>
        <v>48.554971527295493</v>
      </c>
      <c r="AF28" s="185">
        <f t="shared" si="24"/>
        <v>11.800624577064877</v>
      </c>
      <c r="AG28" s="185">
        <f t="shared" si="24"/>
        <v>13.213618245327533</v>
      </c>
      <c r="AH28" s="185">
        <f t="shared" ref="AH28" si="25">AH27/AH$2</f>
        <v>22.548474439568633</v>
      </c>
      <c r="AI28" s="183">
        <f>SUM(C28:AH28)</f>
        <v>296.63963164202858</v>
      </c>
    </row>
  </sheetData>
  <mergeCells count="11">
    <mergeCell ref="A13:A15"/>
    <mergeCell ref="A3:B3"/>
    <mergeCell ref="A4:A6"/>
    <mergeCell ref="A8:A10"/>
    <mergeCell ref="A11:B11"/>
    <mergeCell ref="A12:B12"/>
    <mergeCell ref="A16:A18"/>
    <mergeCell ref="A21:A23"/>
    <mergeCell ref="A24:A26"/>
    <mergeCell ref="A27:B27"/>
    <mergeCell ref="A28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Graphs for presentation</vt:lpstr>
      <vt:lpstr>1.RSP Districts </vt:lpstr>
      <vt:lpstr>2. Overall cum progress Dec)</vt:lpstr>
      <vt:lpstr>2. Overall cum progress Sept14</vt:lpstr>
      <vt:lpstr>2. Overall cum progress June Rf</vt:lpstr>
      <vt:lpstr>2. Overall cum progress Mar Ref</vt:lpstr>
      <vt:lpstr>Cummulative Progress since 82</vt:lpstr>
      <vt:lpstr>graphs</vt:lpstr>
      <vt:lpstr>Value in dollars </vt:lpstr>
      <vt:lpstr>Exchange rates</vt:lpstr>
      <vt:lpstr>'1.RSP Districts '!Print_Area</vt:lpstr>
      <vt:lpstr>'2. Overall cum progress Dec)'!Print_Area</vt:lpstr>
      <vt:lpstr>'2. Overall cum progress June Rf'!Print_Area</vt:lpstr>
      <vt:lpstr>'2. Overall cum progress Mar Ref'!Print_Area</vt:lpstr>
      <vt:lpstr>'2. Overall cum progress Sept14'!Print_Area</vt:lpstr>
      <vt:lpstr>'1.RSP Districts '!Print_Titles</vt:lpstr>
      <vt:lpstr>'2. Overall cum progress Dec)'!Print_Titles</vt:lpstr>
      <vt:lpstr>'2. Overall cum progress June Rf'!Print_Titles</vt:lpstr>
      <vt:lpstr>'2. Overall cum progress Mar Ref'!Print_Titles</vt:lpstr>
      <vt:lpstr>'2. Overall cum progress Sept14'!Print_Titles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2015-01-16T05:50:20Z</cp:lastPrinted>
  <dcterms:created xsi:type="dcterms:W3CDTF">2011-06-02T11:20:26Z</dcterms:created>
  <dcterms:modified xsi:type="dcterms:W3CDTF">2015-04-23T12:44:50Z</dcterms:modified>
</cp:coreProperties>
</file>