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18972" windowHeight="7872" activeTab="1"/>
  </bookViews>
  <sheets>
    <sheet name="RSP Districts " sheetId="2" r:id="rId1"/>
    <sheet name="Overall commulative progress" sheetId="1" r:id="rId2"/>
    <sheet name="Figs for ppt" sheetId="3" state="hidden" r:id="rId3"/>
    <sheet name="Overall commulative progres (2)" sheetId="4" state="hidden" r:id="rId4"/>
  </sheets>
  <definedNames>
    <definedName name="_xlnm._FilterDatabase" localSheetId="3" hidden="1">'Overall commulative progres (2)'!#REF!</definedName>
    <definedName name="_xlnm._FilterDatabase" localSheetId="1" hidden="1">'Overall commulative progress'!#REF!</definedName>
    <definedName name="_xlnm._FilterDatabase" localSheetId="0" hidden="1">'RSP Districts '!$J$2:$J$221</definedName>
    <definedName name="_xlnm.Print_Area" localSheetId="3">'Overall commulative progres (2)'!$A$1:$D$52</definedName>
    <definedName name="_xlnm.Print_Area" localSheetId="1">'Overall commulative progress'!$A$1:$M$53</definedName>
    <definedName name="_xlnm.Print_Area" localSheetId="0">'RSP Districts '!$A$1:$J$220</definedName>
    <definedName name="_xlnm.Print_Titles" localSheetId="3">'Overall commulative progres (2)'!$1:$3</definedName>
    <definedName name="_xlnm.Print_Titles" localSheetId="1">'Overall commulative progress'!$1:$3</definedName>
    <definedName name="_xlnm.Print_Titles" localSheetId="0">'RSP Districts '!$1:$3</definedName>
  </definedNames>
  <calcPr calcId="144525"/>
</workbook>
</file>

<file path=xl/calcChain.xml><?xml version="1.0" encoding="utf-8"?>
<calcChain xmlns="http://schemas.openxmlformats.org/spreadsheetml/2006/main">
  <c r="L23" i="4" l="1"/>
  <c r="L24" i="4" s="1"/>
  <c r="J41" i="4"/>
  <c r="J44" i="4"/>
  <c r="J49" i="4"/>
  <c r="J47" i="4"/>
  <c r="F52" i="4"/>
  <c r="F44" i="4"/>
  <c r="F26" i="4"/>
  <c r="F25" i="4"/>
  <c r="F24" i="4"/>
  <c r="F20" i="4"/>
  <c r="F19" i="4"/>
  <c r="F18" i="4"/>
  <c r="D48" i="4"/>
  <c r="D47" i="4"/>
  <c r="D46" i="4"/>
  <c r="D41" i="4"/>
  <c r="D40" i="4"/>
  <c r="D39" i="4"/>
  <c r="D29" i="4"/>
  <c r="D28" i="4"/>
  <c r="D27" i="4"/>
  <c r="D26" i="4"/>
  <c r="D25" i="4"/>
  <c r="D24" i="4"/>
  <c r="D23" i="4"/>
  <c r="D22" i="4"/>
  <c r="D21" i="4"/>
  <c r="D20" i="4"/>
  <c r="D19" i="4"/>
  <c r="D18" i="4"/>
  <c r="D14" i="4"/>
  <c r="D13" i="4"/>
  <c r="D12" i="4"/>
  <c r="D11" i="4"/>
  <c r="G7" i="1"/>
  <c r="A10" i="3"/>
  <c r="A21" i="3" s="1"/>
  <c r="A33" i="3" s="1"/>
  <c r="A9" i="3"/>
  <c r="A20" i="3" s="1"/>
  <c r="A32" i="3" s="1"/>
  <c r="A8" i="3"/>
  <c r="A19" i="3" s="1"/>
  <c r="A31" i="3" s="1"/>
  <c r="A7" i="3"/>
  <c r="A18" i="3" s="1"/>
  <c r="A30" i="3" s="1"/>
  <c r="A6" i="3"/>
  <c r="A17" i="3" s="1"/>
  <c r="A29" i="3" s="1"/>
  <c r="A5" i="3"/>
  <c r="A16" i="3" s="1"/>
  <c r="A28" i="3" s="1"/>
  <c r="A4" i="3"/>
  <c r="A15" i="3" s="1"/>
  <c r="A27" i="3" s="1"/>
  <c r="A3" i="3"/>
  <c r="A14" i="3" s="1"/>
  <c r="A26" i="3" s="1"/>
  <c r="A2" i="3"/>
  <c r="A13" i="3" s="1"/>
  <c r="A25" i="3" s="1"/>
  <c r="I60" i="2"/>
  <c r="I190" i="2"/>
  <c r="I181" i="2"/>
  <c r="I72" i="2"/>
  <c r="I68" i="2"/>
  <c r="I67" i="2"/>
  <c r="I66" i="2"/>
  <c r="I65" i="2"/>
  <c r="I63" i="2"/>
  <c r="I59" i="2"/>
  <c r="I58" i="2"/>
  <c r="I57" i="2"/>
  <c r="I55" i="2"/>
  <c r="I52" i="2"/>
  <c r="I51" i="2"/>
  <c r="I49" i="2"/>
  <c r="I45" i="2"/>
  <c r="I43" i="2"/>
  <c r="I38" i="2"/>
  <c r="I12" i="2"/>
  <c r="I35" i="2"/>
  <c r="I33" i="2"/>
  <c r="I28" i="2"/>
  <c r="I24" i="2"/>
  <c r="I22" i="2"/>
  <c r="I21" i="2"/>
  <c r="I19" i="2"/>
  <c r="I18" i="2"/>
  <c r="I17" i="2"/>
  <c r="I134" i="2"/>
  <c r="I203" i="2"/>
  <c r="M51" i="1" l="1"/>
  <c r="M50" i="1"/>
  <c r="M48" i="1"/>
  <c r="M47" i="1"/>
  <c r="M45" i="1"/>
  <c r="M44" i="1"/>
  <c r="M43" i="1"/>
  <c r="M42" i="1"/>
  <c r="M41" i="1"/>
  <c r="M40" i="1"/>
  <c r="M39" i="1"/>
  <c r="M37" i="1"/>
  <c r="M36" i="1"/>
  <c r="M25" i="1"/>
  <c r="M24" i="1"/>
  <c r="M22" i="1"/>
  <c r="M21" i="1"/>
  <c r="M19" i="1"/>
  <c r="M18" i="1"/>
  <c r="M16" i="1"/>
  <c r="M15" i="1"/>
  <c r="M13" i="1"/>
  <c r="M12" i="1"/>
  <c r="M10" i="1"/>
  <c r="M9" i="1"/>
  <c r="M8" i="1"/>
  <c r="J219" i="2"/>
  <c r="B9" i="3" s="1"/>
  <c r="J218" i="2"/>
  <c r="B8" i="3" s="1"/>
  <c r="J217" i="2"/>
  <c r="B7" i="3" s="1"/>
  <c r="J216" i="2"/>
  <c r="J215" i="2"/>
  <c r="B5" i="3" s="1"/>
  <c r="J214" i="2"/>
  <c r="B4" i="3" s="1"/>
  <c r="J213" i="2"/>
  <c r="B3" i="3" s="1"/>
  <c r="F148" i="2"/>
  <c r="D148" i="2"/>
  <c r="F166" i="2"/>
  <c r="F11" i="1"/>
  <c r="F14" i="1"/>
  <c r="F17" i="1"/>
  <c r="F20" i="1"/>
  <c r="F23" i="1"/>
  <c r="F26" i="1"/>
  <c r="F38" i="1"/>
  <c r="F46" i="1"/>
  <c r="F49" i="1"/>
  <c r="F52" i="1"/>
  <c r="C148" i="2"/>
  <c r="A100" i="2"/>
  <c r="A74" i="2"/>
  <c r="F74" i="2"/>
  <c r="D74" i="2"/>
  <c r="C74" i="2"/>
  <c r="I74" i="2"/>
  <c r="G74" i="2"/>
  <c r="A176" i="2"/>
  <c r="A192" i="2"/>
  <c r="I192" i="2"/>
  <c r="G192" i="2"/>
  <c r="F192" i="2"/>
  <c r="D192" i="2"/>
  <c r="C192" i="2"/>
  <c r="A40" i="2"/>
  <c r="I40" i="2"/>
  <c r="G40" i="2"/>
  <c r="F40" i="2"/>
  <c r="D40" i="2"/>
  <c r="C40" i="2"/>
  <c r="D166" i="2"/>
  <c r="C166" i="2"/>
  <c r="E175" i="2" l="1"/>
  <c r="E174" i="2"/>
  <c r="E173" i="2"/>
  <c r="E172" i="2"/>
  <c r="E171" i="2"/>
  <c r="E169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8" i="2"/>
  <c r="E107" i="2"/>
  <c r="E106" i="2"/>
  <c r="E105" i="2"/>
  <c r="E104" i="2"/>
  <c r="E103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2" i="2"/>
  <c r="E81" i="2"/>
  <c r="E80" i="2"/>
  <c r="E79" i="2"/>
  <c r="E78" i="2"/>
  <c r="E77" i="2"/>
  <c r="E72" i="2"/>
  <c r="E71" i="2"/>
  <c r="E70" i="2"/>
  <c r="E69" i="2"/>
  <c r="E68" i="2"/>
  <c r="E67" i="2"/>
  <c r="E66" i="2"/>
  <c r="E65" i="2"/>
  <c r="E64" i="2"/>
  <c r="E63" i="2"/>
  <c r="E62" i="2"/>
  <c r="E60" i="2"/>
  <c r="E59" i="2"/>
  <c r="E58" i="2"/>
  <c r="E57" i="2"/>
  <c r="E56" i="2"/>
  <c r="E55" i="2"/>
  <c r="E52" i="2"/>
  <c r="E51" i="2"/>
  <c r="E50" i="2"/>
  <c r="E49" i="2"/>
  <c r="E48" i="2"/>
  <c r="E47" i="2"/>
  <c r="E46" i="2"/>
  <c r="E45" i="2"/>
  <c r="E43" i="2"/>
  <c r="E38" i="2"/>
  <c r="E35" i="2"/>
  <c r="E33" i="2"/>
  <c r="E32" i="2"/>
  <c r="E28" i="2"/>
  <c r="E26" i="2"/>
  <c r="E24" i="2"/>
  <c r="E22" i="2"/>
  <c r="E21" i="2"/>
  <c r="E20" i="2"/>
  <c r="E19" i="2"/>
  <c r="E18" i="2"/>
  <c r="E17" i="2"/>
  <c r="E15" i="2"/>
  <c r="E12" i="2"/>
  <c r="E10" i="2"/>
  <c r="L52" i="1"/>
  <c r="K52" i="1"/>
  <c r="J52" i="1"/>
  <c r="I52" i="1"/>
  <c r="H52" i="1"/>
  <c r="G52" i="1"/>
  <c r="E52" i="1"/>
  <c r="D52" i="1"/>
  <c r="C52" i="1"/>
  <c r="L49" i="1"/>
  <c r="K49" i="1"/>
  <c r="J49" i="1"/>
  <c r="I49" i="1"/>
  <c r="H49" i="1"/>
  <c r="G49" i="1"/>
  <c r="E49" i="1"/>
  <c r="D49" i="1"/>
  <c r="C49" i="1"/>
  <c r="L46" i="1"/>
  <c r="K46" i="1"/>
  <c r="J46" i="1"/>
  <c r="I46" i="1"/>
  <c r="H46" i="1"/>
  <c r="G46" i="1"/>
  <c r="E46" i="1"/>
  <c r="D46" i="1"/>
  <c r="C46" i="1"/>
  <c r="L38" i="1"/>
  <c r="K38" i="1"/>
  <c r="J38" i="1"/>
  <c r="I38" i="1"/>
  <c r="H38" i="1"/>
  <c r="G38" i="1"/>
  <c r="E38" i="1"/>
  <c r="D38" i="1"/>
  <c r="C38" i="1"/>
  <c r="L26" i="1"/>
  <c r="K26" i="1"/>
  <c r="J26" i="1"/>
  <c r="I26" i="1"/>
  <c r="H26" i="1"/>
  <c r="G26" i="1"/>
  <c r="E26" i="1"/>
  <c r="D26" i="1"/>
  <c r="C26" i="1"/>
  <c r="L23" i="1"/>
  <c r="K23" i="1"/>
  <c r="J23" i="1"/>
  <c r="I23" i="1"/>
  <c r="H23" i="1"/>
  <c r="G23" i="1"/>
  <c r="E23" i="1"/>
  <c r="D23" i="1"/>
  <c r="C23" i="1"/>
  <c r="L20" i="1"/>
  <c r="K20" i="1"/>
  <c r="J20" i="1"/>
  <c r="I20" i="1"/>
  <c r="H20" i="1"/>
  <c r="G20" i="1"/>
  <c r="E20" i="1"/>
  <c r="D20" i="1"/>
  <c r="C20" i="1"/>
  <c r="L17" i="1"/>
  <c r="K17" i="1"/>
  <c r="J17" i="1"/>
  <c r="I17" i="1"/>
  <c r="H17" i="1"/>
  <c r="G17" i="1"/>
  <c r="E17" i="1"/>
  <c r="D17" i="1"/>
  <c r="C17" i="1"/>
  <c r="L14" i="1"/>
  <c r="K14" i="1"/>
  <c r="J14" i="1"/>
  <c r="I14" i="1"/>
  <c r="H14" i="1"/>
  <c r="G14" i="1"/>
  <c r="E14" i="1"/>
  <c r="D14" i="1"/>
  <c r="C14" i="1"/>
  <c r="H11" i="1"/>
  <c r="L11" i="1"/>
  <c r="K11" i="1"/>
  <c r="J11" i="1"/>
  <c r="I11" i="1"/>
  <c r="G11" i="1"/>
  <c r="E11" i="1"/>
  <c r="D11" i="1"/>
  <c r="C11" i="1"/>
  <c r="M52" i="1"/>
  <c r="M49" i="1"/>
  <c r="M35" i="1"/>
  <c r="M34" i="1"/>
  <c r="M33" i="1"/>
  <c r="M32" i="1"/>
  <c r="M31" i="1"/>
  <c r="M30" i="1"/>
  <c r="M29" i="1"/>
  <c r="M28" i="1"/>
  <c r="M27" i="1"/>
  <c r="M7" i="1"/>
  <c r="I202" i="2"/>
  <c r="I199" i="2"/>
  <c r="G202" i="2"/>
  <c r="G6" i="1" s="1"/>
  <c r="G199" i="2"/>
  <c r="D6" i="1" s="1"/>
  <c r="D204" i="2"/>
  <c r="I5" i="1" s="1"/>
  <c r="D202" i="2"/>
  <c r="G5" i="1" s="1"/>
  <c r="D199" i="2"/>
  <c r="D5" i="1" s="1"/>
  <c r="C202" i="2"/>
  <c r="C199" i="2"/>
  <c r="F202" i="2"/>
  <c r="F199" i="2"/>
  <c r="I176" i="2"/>
  <c r="I218" i="2" s="1"/>
  <c r="G176" i="2"/>
  <c r="G218" i="2" s="1"/>
  <c r="D31" i="3" s="1"/>
  <c r="H174" i="2"/>
  <c r="H172" i="2"/>
  <c r="H175" i="2"/>
  <c r="H173" i="2"/>
  <c r="H171" i="2"/>
  <c r="H169" i="2"/>
  <c r="H165" i="2"/>
  <c r="H163" i="2"/>
  <c r="H161" i="2"/>
  <c r="H159" i="2"/>
  <c r="H157" i="2"/>
  <c r="H155" i="2"/>
  <c r="H153" i="2"/>
  <c r="H151" i="2"/>
  <c r="H147" i="2"/>
  <c r="H146" i="2"/>
  <c r="H141" i="2"/>
  <c r="H139" i="2"/>
  <c r="H137" i="2"/>
  <c r="H136" i="2"/>
  <c r="H135" i="2"/>
  <c r="H130" i="2"/>
  <c r="H128" i="2"/>
  <c r="H126" i="2"/>
  <c r="H124" i="2"/>
  <c r="H121" i="2"/>
  <c r="H120" i="2"/>
  <c r="H117" i="2"/>
  <c r="H110" i="2"/>
  <c r="H108" i="2"/>
  <c r="H107" i="2"/>
  <c r="H106" i="2"/>
  <c r="H105" i="2"/>
  <c r="H104" i="2"/>
  <c r="H32" i="2"/>
  <c r="H26" i="2"/>
  <c r="H20" i="2"/>
  <c r="H15" i="2"/>
  <c r="H10" i="2"/>
  <c r="H71" i="2"/>
  <c r="H70" i="2"/>
  <c r="H64" i="2"/>
  <c r="H62" i="2"/>
  <c r="H50" i="2"/>
  <c r="H48" i="2"/>
  <c r="H98" i="2"/>
  <c r="H96" i="2"/>
  <c r="H95" i="2"/>
  <c r="H90" i="2"/>
  <c r="H88" i="2"/>
  <c r="H87" i="2"/>
  <c r="H80" i="2"/>
  <c r="M38" i="1" l="1"/>
  <c r="M14" i="1"/>
  <c r="M17" i="1"/>
  <c r="M20" i="1"/>
  <c r="M23" i="1"/>
  <c r="M26" i="1"/>
  <c r="M46" i="1"/>
  <c r="M11" i="1"/>
  <c r="E202" i="2"/>
  <c r="E199" i="2"/>
  <c r="E190" i="2"/>
  <c r="I219" i="2"/>
  <c r="I206" i="2"/>
  <c r="D206" i="2"/>
  <c r="K5" i="1" s="1"/>
  <c r="C206" i="2"/>
  <c r="E206" i="2" l="1"/>
  <c r="E181" i="2"/>
  <c r="H181" i="2"/>
  <c r="H190" i="2"/>
  <c r="F206" i="2"/>
  <c r="G206" i="2"/>
  <c r="K6" i="1" s="1"/>
  <c r="H43" i="2"/>
  <c r="H45" i="2"/>
  <c r="H47" i="2"/>
  <c r="H49" i="2"/>
  <c r="H51" i="2"/>
  <c r="H52" i="2"/>
  <c r="H55" i="2"/>
  <c r="H57" i="2"/>
  <c r="H58" i="2"/>
  <c r="H59" i="2"/>
  <c r="H60" i="2"/>
  <c r="H63" i="2"/>
  <c r="H65" i="2"/>
  <c r="H66" i="2"/>
  <c r="H67" i="2"/>
  <c r="H68" i="2"/>
  <c r="H72" i="2"/>
  <c r="D219" i="2" l="1"/>
  <c r="C20" i="3" s="1"/>
  <c r="G219" i="2"/>
  <c r="D32" i="3" s="1"/>
  <c r="A207" i="2" l="1"/>
  <c r="L4" i="1" s="1"/>
  <c r="A206" i="2"/>
  <c r="K4" i="1" s="1"/>
  <c r="A205" i="2"/>
  <c r="J4" i="1" s="1"/>
  <c r="A204" i="2"/>
  <c r="I4" i="1" s="1"/>
  <c r="A203" i="2"/>
  <c r="H4" i="1" s="1"/>
  <c r="A202" i="2"/>
  <c r="G4" i="1" s="1"/>
  <c r="A201" i="2"/>
  <c r="F4" i="1" s="1"/>
  <c r="A200" i="2"/>
  <c r="E4" i="1" s="1"/>
  <c r="A199" i="2"/>
  <c r="D4" i="1" s="1"/>
  <c r="A198" i="2"/>
  <c r="C4" i="1" s="1"/>
  <c r="G204" i="2"/>
  <c r="I6" i="1" s="1"/>
  <c r="I204" i="2"/>
  <c r="F204" i="2"/>
  <c r="D203" i="2"/>
  <c r="H5" i="1" s="1"/>
  <c r="F203" i="2"/>
  <c r="C203" i="2"/>
  <c r="I148" i="2"/>
  <c r="I216" i="2" s="1"/>
  <c r="I201" i="2"/>
  <c r="C201" i="2"/>
  <c r="D207" i="2"/>
  <c r="L5" i="1" s="1"/>
  <c r="F207" i="2"/>
  <c r="G207" i="2"/>
  <c r="L6" i="1" s="1"/>
  <c r="C207" i="2"/>
  <c r="F200" i="2"/>
  <c r="D200" i="2"/>
  <c r="E5" i="1" s="1"/>
  <c r="C200" i="2"/>
  <c r="D205" i="2"/>
  <c r="J5" i="1" s="1"/>
  <c r="F205" i="2"/>
  <c r="I205" i="2"/>
  <c r="M4" i="1" l="1"/>
  <c r="A208" i="2"/>
  <c r="E200" i="2"/>
  <c r="G200" i="2"/>
  <c r="E6" i="1" s="1"/>
  <c r="H12" i="2"/>
  <c r="H18" i="2"/>
  <c r="H21" i="2"/>
  <c r="H24" i="2"/>
  <c r="H33" i="2"/>
  <c r="H38" i="2"/>
  <c r="E207" i="2"/>
  <c r="I198" i="2"/>
  <c r="I166" i="2"/>
  <c r="I217" i="2" s="1"/>
  <c r="H69" i="2"/>
  <c r="G148" i="2"/>
  <c r="H103" i="2"/>
  <c r="H111" i="2"/>
  <c r="G203" i="2"/>
  <c r="H6" i="1" s="1"/>
  <c r="E203" i="2"/>
  <c r="H112" i="2"/>
  <c r="H113" i="2"/>
  <c r="H114" i="2"/>
  <c r="H115" i="2"/>
  <c r="H116" i="2"/>
  <c r="H118" i="2"/>
  <c r="H119" i="2"/>
  <c r="H122" i="2"/>
  <c r="H123" i="2"/>
  <c r="H125" i="2"/>
  <c r="H127" i="2"/>
  <c r="H129" i="2"/>
  <c r="H132" i="2"/>
  <c r="H133" i="2"/>
  <c r="H134" i="2"/>
  <c r="H138" i="2"/>
  <c r="H140" i="2"/>
  <c r="H142" i="2"/>
  <c r="H143" i="2"/>
  <c r="H144" i="2"/>
  <c r="H145" i="2"/>
  <c r="I200" i="2"/>
  <c r="H17" i="2"/>
  <c r="H19" i="2"/>
  <c r="H22" i="2"/>
  <c r="H28" i="2"/>
  <c r="H35" i="2"/>
  <c r="I100" i="2"/>
  <c r="I215" i="2" s="1"/>
  <c r="I207" i="2"/>
  <c r="C198" i="2"/>
  <c r="G166" i="2"/>
  <c r="G198" i="2"/>
  <c r="C6" i="1" s="1"/>
  <c r="H152" i="2"/>
  <c r="F217" i="2"/>
  <c r="C30" i="3" s="1"/>
  <c r="F198" i="2"/>
  <c r="D198" i="2"/>
  <c r="C5" i="1" s="1"/>
  <c r="H154" i="2"/>
  <c r="H156" i="2"/>
  <c r="H158" i="2"/>
  <c r="H160" i="2"/>
  <c r="H162" i="2"/>
  <c r="H164" i="2"/>
  <c r="D214" i="2"/>
  <c r="C15" i="3" s="1"/>
  <c r="D201" i="2"/>
  <c r="F5" i="1" s="1"/>
  <c r="F201" i="2"/>
  <c r="F214" i="2"/>
  <c r="C27" i="3" s="1"/>
  <c r="H56" i="2"/>
  <c r="G201" i="2"/>
  <c r="F6" i="1" s="1"/>
  <c r="C204" i="2"/>
  <c r="E204" i="2" s="1"/>
  <c r="C205" i="2"/>
  <c r="E205" i="2" s="1"/>
  <c r="H82" i="2"/>
  <c r="H85" i="2"/>
  <c r="H92" i="2"/>
  <c r="C100" i="2"/>
  <c r="E74" i="2"/>
  <c r="H78" i="2"/>
  <c r="H97" i="2"/>
  <c r="H99" i="2"/>
  <c r="D100" i="2"/>
  <c r="D215" i="2" s="1"/>
  <c r="C16" i="3" s="1"/>
  <c r="I208" i="2" l="1"/>
  <c r="I213" i="2"/>
  <c r="D217" i="2"/>
  <c r="C18" i="3" s="1"/>
  <c r="G100" i="2"/>
  <c r="G215" i="2" s="1"/>
  <c r="D28" i="3" s="1"/>
  <c r="G205" i="2"/>
  <c r="E198" i="2"/>
  <c r="G217" i="2"/>
  <c r="H166" i="2"/>
  <c r="G216" i="2"/>
  <c r="G213" i="2"/>
  <c r="D26" i="3" s="1"/>
  <c r="H74" i="2"/>
  <c r="G214" i="2"/>
  <c r="D27" i="3" s="1"/>
  <c r="B27" i="3" s="1"/>
  <c r="E201" i="2"/>
  <c r="H198" i="2"/>
  <c r="H89" i="2"/>
  <c r="H91" i="2"/>
  <c r="H93" i="2"/>
  <c r="H84" i="2"/>
  <c r="H81" i="2"/>
  <c r="H94" i="2"/>
  <c r="H86" i="2"/>
  <c r="H79" i="2"/>
  <c r="H217" i="2" l="1"/>
  <c r="D30" i="3"/>
  <c r="B30" i="3" s="1"/>
  <c r="G208" i="2"/>
  <c r="J6" i="1"/>
  <c r="M6" i="1" s="1"/>
  <c r="H214" i="2"/>
  <c r="I7" i="2" l="1"/>
  <c r="I212" i="2" s="1"/>
  <c r="I214" i="2" l="1"/>
  <c r="I220" i="2" s="1"/>
  <c r="I221" i="2" s="1"/>
  <c r="I194" i="2"/>
  <c r="G7" i="2"/>
  <c r="G212" i="2" l="1"/>
  <c r="D29" i="3" s="1"/>
  <c r="G194" i="2"/>
  <c r="D33" i="3" l="1"/>
  <c r="G220" i="2"/>
  <c r="G221" i="2" s="1"/>
  <c r="D216" i="2"/>
  <c r="C17" i="3" s="1"/>
  <c r="D7" i="2"/>
  <c r="D212" i="2" s="1"/>
  <c r="D176" i="2"/>
  <c r="D218" i="2" s="1"/>
  <c r="C19" i="3" s="1"/>
  <c r="D34" i="3" l="1"/>
  <c r="D213" i="2"/>
  <c r="C14" i="3" s="1"/>
  <c r="C21" i="3" s="1"/>
  <c r="D194" i="2"/>
  <c r="A219" i="2"/>
  <c r="C9" i="3" s="1"/>
  <c r="A218" i="2"/>
  <c r="C8" i="3" s="1"/>
  <c r="A217" i="2"/>
  <c r="C7" i="3" s="1"/>
  <c r="A216" i="2"/>
  <c r="A215" i="2"/>
  <c r="C5" i="3" s="1"/>
  <c r="H207" i="2"/>
  <c r="H206" i="2"/>
  <c r="H205" i="2"/>
  <c r="H203" i="2"/>
  <c r="H202" i="2"/>
  <c r="H201" i="2"/>
  <c r="H200" i="2"/>
  <c r="H199" i="2"/>
  <c r="F176" i="2"/>
  <c r="F218" i="2" s="1"/>
  <c r="C31" i="3" s="1"/>
  <c r="B31" i="3" s="1"/>
  <c r="C176" i="2"/>
  <c r="C218" i="2" s="1"/>
  <c r="C217" i="2"/>
  <c r="F100" i="2"/>
  <c r="F215" i="2" s="1"/>
  <c r="C28" i="3" s="1"/>
  <c r="B28" i="3" s="1"/>
  <c r="C215" i="2"/>
  <c r="H77" i="2"/>
  <c r="A214" i="2"/>
  <c r="C4" i="3" s="1"/>
  <c r="H46" i="2"/>
  <c r="F7" i="2"/>
  <c r="F212" i="2" s="1"/>
  <c r="C7" i="2"/>
  <c r="C212" i="2" s="1"/>
  <c r="A7" i="2"/>
  <c r="H6" i="2"/>
  <c r="E6" i="2"/>
  <c r="E218" i="2" l="1"/>
  <c r="B19" i="3"/>
  <c r="E215" i="2"/>
  <c r="B16" i="3"/>
  <c r="E217" i="2"/>
  <c r="B18" i="3"/>
  <c r="D220" i="2"/>
  <c r="D208" i="2" s="1"/>
  <c r="M5" i="1" s="1"/>
  <c r="A212" i="2"/>
  <c r="C6" i="3" s="1"/>
  <c r="J212" i="2"/>
  <c r="H212" i="2"/>
  <c r="C213" i="2"/>
  <c r="E40" i="2"/>
  <c r="H215" i="2"/>
  <c r="C219" i="2"/>
  <c r="E192" i="2"/>
  <c r="F213" i="2"/>
  <c r="C26" i="3" s="1"/>
  <c r="H40" i="2"/>
  <c r="F216" i="2"/>
  <c r="H148" i="2"/>
  <c r="F219" i="2"/>
  <c r="H192" i="2"/>
  <c r="H204" i="2"/>
  <c r="H218" i="2"/>
  <c r="H176" i="2"/>
  <c r="H100" i="2"/>
  <c r="A213" i="2"/>
  <c r="C3" i="3" s="1"/>
  <c r="C10" i="3" s="1"/>
  <c r="A194" i="2"/>
  <c r="E148" i="2"/>
  <c r="E212" i="2"/>
  <c r="E7" i="2"/>
  <c r="E176" i="2"/>
  <c r="F194" i="2"/>
  <c r="H194" i="2" s="1"/>
  <c r="C214" i="2"/>
  <c r="C216" i="2"/>
  <c r="H7" i="2"/>
  <c r="E100" i="2"/>
  <c r="E166" i="2"/>
  <c r="C194" i="2"/>
  <c r="E194" i="2" s="1"/>
  <c r="E216" i="2" l="1"/>
  <c r="B17" i="3"/>
  <c r="E214" i="2"/>
  <c r="B15" i="3"/>
  <c r="H216" i="2"/>
  <c r="C29" i="3"/>
  <c r="B29" i="3" s="1"/>
  <c r="E219" i="2"/>
  <c r="B20" i="3"/>
  <c r="J220" i="2"/>
  <c r="B6" i="3"/>
  <c r="B10" i="3" s="1"/>
  <c r="E213" i="2"/>
  <c r="B14" i="3"/>
  <c r="B21" i="3" s="1"/>
  <c r="D21" i="3" s="1"/>
  <c r="A220" i="2"/>
  <c r="H219" i="2"/>
  <c r="C32" i="3"/>
  <c r="B32" i="3" s="1"/>
  <c r="C33" i="3"/>
  <c r="B33" i="3" s="1"/>
  <c r="B26" i="3"/>
  <c r="F220" i="2"/>
  <c r="F208" i="2" s="1"/>
  <c r="H213" i="2"/>
  <c r="C220" i="2"/>
  <c r="C208" i="2" s="1"/>
  <c r="E208" i="2" s="1"/>
  <c r="E220" i="2" l="1"/>
  <c r="H220" i="2"/>
  <c r="F221" i="2"/>
  <c r="H208" i="2"/>
</calcChain>
</file>

<file path=xl/sharedStrings.xml><?xml version="1.0" encoding="utf-8"?>
<sst xmlns="http://schemas.openxmlformats.org/spreadsheetml/2006/main" count="515" uniqueCount="259">
  <si>
    <t>Rural Support Programmes (RSPs) in Pakistan, Cumulative Progress as of Mar-2011</t>
  </si>
  <si>
    <t>Indicators</t>
  </si>
  <si>
    <t>AJKRSP</t>
  </si>
  <si>
    <t>AKRSP</t>
  </si>
  <si>
    <t>BRSP</t>
  </si>
  <si>
    <t>GBTI</t>
  </si>
  <si>
    <t>NRSP</t>
  </si>
  <si>
    <t>PRSP</t>
  </si>
  <si>
    <t>SGA</t>
  </si>
  <si>
    <t>SRSO</t>
  </si>
  <si>
    <t>SRSP</t>
  </si>
  <si>
    <t>TRDP</t>
  </si>
  <si>
    <t># of RSP working districts*</t>
  </si>
  <si>
    <t># of rural union councils with RSP presence*</t>
  </si>
  <si>
    <t># of Local Support Organisations (LSOs)</t>
  </si>
  <si>
    <t xml:space="preserve"># of Community Organizations (COs) formed </t>
  </si>
  <si>
    <t xml:space="preserve">Women COs </t>
  </si>
  <si>
    <t>Men COs</t>
  </si>
  <si>
    <t>Mix COs</t>
  </si>
  <si>
    <t xml:space="preserve">Total </t>
  </si>
  <si>
    <t># of COs members</t>
  </si>
  <si>
    <t xml:space="preserve">Women </t>
  </si>
  <si>
    <t xml:space="preserve">Men </t>
  </si>
  <si>
    <t>Amount of savings of COs (Rs. Million)</t>
  </si>
  <si>
    <t># of community members trained</t>
  </si>
  <si>
    <t>Amount of micro-credit disbursement (Rs. Million)</t>
  </si>
  <si>
    <t xml:space="preserve"># of loans </t>
  </si>
  <si>
    <t># of borrowers (persons)</t>
  </si>
  <si>
    <t>Current credit portfolio (Amount in Million Rs)</t>
  </si>
  <si>
    <t>Number of active borrowers</t>
  </si>
  <si>
    <t># of health micro insurance scheme clients / members</t>
  </si>
  <si>
    <t># of PPI/CPI Schemes Initiated</t>
  </si>
  <si>
    <t xml:space="preserve"># of PPI/CPI Schemes completed </t>
  </si>
  <si>
    <t xml:space="preserve"># of beneficiary households of initiated CPIs </t>
  </si>
  <si>
    <t xml:space="preserve">Total Cost of initiated CPIs (Rs. Million) </t>
  </si>
  <si>
    <t># of community schools established</t>
  </si>
  <si>
    <t xml:space="preserve">Girls </t>
  </si>
  <si>
    <t># of students enrolled</t>
  </si>
  <si>
    <t xml:space="preserve">Boys </t>
  </si>
  <si>
    <t># of adults Literated or Graduated</t>
  </si>
  <si>
    <t># of Traditional Birth Attendants / Health workers Trained*</t>
  </si>
  <si>
    <t>Rural Support Programmes (RSPs) in Pakistan, District-wise RSPs Coverage/Outreach as of March 2011</t>
  </si>
  <si>
    <t xml:space="preserve">S. No. </t>
  </si>
  <si>
    <t xml:space="preserve">Name of District </t>
  </si>
  <si>
    <t>UCs Having RSPs Presence</t>
  </si>
  <si>
    <t>Household Organised</t>
  </si>
  <si>
    <t>RSP</t>
  </si>
  <si>
    <t>Total rural HHs in the District (1998 Census)</t>
  </si>
  <si>
    <t>ISLAMABAD</t>
  </si>
  <si>
    <t>ICT</t>
  </si>
  <si>
    <t>Sub Total</t>
  </si>
  <si>
    <t>BALOCHISTAN</t>
  </si>
  <si>
    <t xml:space="preserve">Awaran </t>
  </si>
  <si>
    <t xml:space="preserve">Bolan </t>
  </si>
  <si>
    <t xml:space="preserve">Gawadar </t>
  </si>
  <si>
    <t xml:space="preserve">Jhal Magsi </t>
  </si>
  <si>
    <t>Jaffarabad</t>
  </si>
  <si>
    <t xml:space="preserve">Kallat </t>
  </si>
  <si>
    <t>Kech / Turbat</t>
  </si>
  <si>
    <t>Kharan</t>
  </si>
  <si>
    <t xml:space="preserve">Khuzdar </t>
  </si>
  <si>
    <t>Killa Saifullah</t>
  </si>
  <si>
    <t>Lasbella</t>
  </si>
  <si>
    <t>Mastung</t>
  </si>
  <si>
    <t xml:space="preserve">Panjgoor </t>
  </si>
  <si>
    <t xml:space="preserve">Pishin </t>
  </si>
  <si>
    <t xml:space="preserve">Sherani </t>
  </si>
  <si>
    <t xml:space="preserve">Zhob </t>
  </si>
  <si>
    <t>KHYBER PUKHTUNKHWA (KPK)</t>
  </si>
  <si>
    <t xml:space="preserve">Abbottabad </t>
  </si>
  <si>
    <t>Battagram</t>
  </si>
  <si>
    <t>Buner</t>
  </si>
  <si>
    <t>Buner (overlapping)</t>
  </si>
  <si>
    <t>Charsadda</t>
  </si>
  <si>
    <t>Charsadda (overlapping)</t>
  </si>
  <si>
    <t>Chitral</t>
  </si>
  <si>
    <t>Chitral  (overlapping)</t>
  </si>
  <si>
    <t>Dir Upper</t>
  </si>
  <si>
    <t xml:space="preserve">Hangu </t>
  </si>
  <si>
    <t>Haripur</t>
  </si>
  <si>
    <t>Haripur  (overlapping)</t>
  </si>
  <si>
    <t xml:space="preserve">Karak </t>
  </si>
  <si>
    <t>Kohat</t>
  </si>
  <si>
    <t>Kohistan</t>
  </si>
  <si>
    <t>Malakand P.A</t>
  </si>
  <si>
    <t xml:space="preserve">Mansehra </t>
  </si>
  <si>
    <t xml:space="preserve">Mardan </t>
  </si>
  <si>
    <t>Mardan(overlapping)</t>
  </si>
  <si>
    <t xml:space="preserve">Nowshera </t>
  </si>
  <si>
    <t xml:space="preserve">Peshawar </t>
  </si>
  <si>
    <t>Shangla</t>
  </si>
  <si>
    <t>Swabi</t>
  </si>
  <si>
    <t>Swabi  (overlapping)</t>
  </si>
  <si>
    <t>Swat</t>
  </si>
  <si>
    <t>Swat (overlapping)</t>
  </si>
  <si>
    <t>TOTAL</t>
  </si>
  <si>
    <t>SINDH</t>
  </si>
  <si>
    <t>Badin</t>
  </si>
  <si>
    <t>Dadu</t>
  </si>
  <si>
    <t>Ghotki</t>
  </si>
  <si>
    <t xml:space="preserve">Hyderabad </t>
  </si>
  <si>
    <t>Jacobabad</t>
  </si>
  <si>
    <t>Jamshoro</t>
  </si>
  <si>
    <t xml:space="preserve">Kashmore </t>
  </si>
  <si>
    <t>Khairpur</t>
  </si>
  <si>
    <t xml:space="preserve">Larkana </t>
  </si>
  <si>
    <t>Matiari</t>
  </si>
  <si>
    <t>Mirpur Khas</t>
  </si>
  <si>
    <t>Nausharo Feroz</t>
  </si>
  <si>
    <t>Nawabshah</t>
  </si>
  <si>
    <t xml:space="preserve">Shahdad Kot </t>
  </si>
  <si>
    <t>Sanghar</t>
  </si>
  <si>
    <t>Shikarpur</t>
  </si>
  <si>
    <t xml:space="preserve">Sukkhur </t>
  </si>
  <si>
    <t>Tando Allahyar</t>
  </si>
  <si>
    <t>Tando Muhammad Khan</t>
  </si>
  <si>
    <t>Tharparkar</t>
  </si>
  <si>
    <t xml:space="preserve">Thattha </t>
  </si>
  <si>
    <t>Umer Kot</t>
  </si>
  <si>
    <t>PUNJAB</t>
  </si>
  <si>
    <t>Attock</t>
  </si>
  <si>
    <t>Attock (overlapping)</t>
  </si>
  <si>
    <t>Bahawalnagar</t>
  </si>
  <si>
    <t>Bahawalpur</t>
  </si>
  <si>
    <t>Bhakkar</t>
  </si>
  <si>
    <t>Chakwal</t>
  </si>
  <si>
    <t>D G Khan</t>
  </si>
  <si>
    <t>D G Khan (overlapping)</t>
  </si>
  <si>
    <t>Faisalabad</t>
  </si>
  <si>
    <t>Gujranwala</t>
  </si>
  <si>
    <t>Gujrat</t>
  </si>
  <si>
    <t xml:space="preserve">Hafiz Abad </t>
  </si>
  <si>
    <t>Jhang</t>
  </si>
  <si>
    <t>Jhelum</t>
  </si>
  <si>
    <t xml:space="preserve">Kasur </t>
  </si>
  <si>
    <t>Khanewal</t>
  </si>
  <si>
    <t>Khanewal (overlapping)</t>
  </si>
  <si>
    <t>Khushab</t>
  </si>
  <si>
    <t>Lahore</t>
  </si>
  <si>
    <t>Layyah</t>
  </si>
  <si>
    <t>Lodhran</t>
  </si>
  <si>
    <t>Mandi Bahauddin</t>
  </si>
  <si>
    <t>Mianwali</t>
  </si>
  <si>
    <t>Multan</t>
  </si>
  <si>
    <t>Multan (overlapping)</t>
  </si>
  <si>
    <t>Muzaffargarh</t>
  </si>
  <si>
    <t>Muzaffargarh (overlapping)</t>
  </si>
  <si>
    <t>Narrowal</t>
  </si>
  <si>
    <t>Okara</t>
  </si>
  <si>
    <t>Pakpattan</t>
  </si>
  <si>
    <t>Pakpattan (overlapping)</t>
  </si>
  <si>
    <t>Rahim Yar Khan</t>
  </si>
  <si>
    <t>Rajanpur</t>
  </si>
  <si>
    <t>Rajanpur (overlapping)</t>
  </si>
  <si>
    <t>Rawalpindi</t>
  </si>
  <si>
    <t>Sahiwal</t>
  </si>
  <si>
    <t>Sahiwal (overlapping)</t>
  </si>
  <si>
    <t>Sargodha</t>
  </si>
  <si>
    <t>Sheikhupura</t>
  </si>
  <si>
    <t>Sialkot</t>
  </si>
  <si>
    <t>Toba Tek Singh</t>
  </si>
  <si>
    <t>Toba Tek Singh (overlapping)</t>
  </si>
  <si>
    <t>Vehari</t>
  </si>
  <si>
    <t>AZAD JAMMU AND KASHMIR (AJK)</t>
  </si>
  <si>
    <t>Bagh</t>
  </si>
  <si>
    <t>Kotli</t>
  </si>
  <si>
    <t>Kotli (overlapping)</t>
  </si>
  <si>
    <t>Muzuffarabad</t>
  </si>
  <si>
    <t>Muzuffarabad (overlapping)</t>
  </si>
  <si>
    <t>Neelum</t>
  </si>
  <si>
    <t>Neelum (overlapping)</t>
  </si>
  <si>
    <t>Poonch (Rawalakot)</t>
  </si>
  <si>
    <t>Bhimber</t>
  </si>
  <si>
    <t>Sudhnoti</t>
  </si>
  <si>
    <t>Mirpur</t>
  </si>
  <si>
    <t>GILGIT-BALTISTAN (GB)</t>
  </si>
  <si>
    <t>Astore</t>
  </si>
  <si>
    <t>Ghanche</t>
  </si>
  <si>
    <t>Ghizer</t>
  </si>
  <si>
    <t>Gilgit</t>
  </si>
  <si>
    <t>Hunza-Nagar</t>
  </si>
  <si>
    <t>Skardu</t>
  </si>
  <si>
    <t xml:space="preserve">FEDERALLY ADMINISTERED TRIBAL AREA (FATA) </t>
  </si>
  <si>
    <t>Kurram Agency</t>
  </si>
  <si>
    <t>T.A.Adj Peshawar Distt</t>
  </si>
  <si>
    <t xml:space="preserve">G. Total </t>
  </si>
  <si>
    <t xml:space="preserve">RSP-wise Summary of Coverage/Outreach  </t>
  </si>
  <si>
    <t>Page 4</t>
  </si>
  <si>
    <t xml:space="preserve">Balochistan </t>
  </si>
  <si>
    <t xml:space="preserve">Sindh </t>
  </si>
  <si>
    <t xml:space="preserve">Punjab </t>
  </si>
  <si>
    <t xml:space="preserve">Gilgit-Baltistan </t>
  </si>
  <si>
    <t>Forward Kahuta</t>
  </si>
  <si>
    <t xml:space="preserve">Hattian </t>
  </si>
  <si>
    <t>Bagh (overlapping)</t>
  </si>
  <si>
    <t>Hattian (overlapping)</t>
  </si>
  <si>
    <t>Barkhan</t>
  </si>
  <si>
    <t>Chaqhi</t>
  </si>
  <si>
    <t>Dera Bugti</t>
  </si>
  <si>
    <t>Harnai</t>
  </si>
  <si>
    <t>Killa Abdullah</t>
  </si>
  <si>
    <t>Kohlu</t>
  </si>
  <si>
    <t>Loralai</t>
  </si>
  <si>
    <t>Musa Khel</t>
  </si>
  <si>
    <t>Naseerabad</t>
  </si>
  <si>
    <t>Noshki</t>
  </si>
  <si>
    <t>Sibi</t>
  </si>
  <si>
    <t>Washuk</t>
  </si>
  <si>
    <t>Ziarat</t>
  </si>
  <si>
    <t>Quetta</t>
  </si>
  <si>
    <t xml:space="preserve">Khyber Agency </t>
  </si>
  <si>
    <t>Mohmand Agency</t>
  </si>
  <si>
    <t xml:space="preserve">North Waziristan Agency </t>
  </si>
  <si>
    <t xml:space="preserve">Orakzai Agency </t>
  </si>
  <si>
    <t xml:space="preserve">South Waziristan Agency </t>
  </si>
  <si>
    <t>T.A.Adj Lakki Marwat Distt</t>
  </si>
  <si>
    <t>T.A.Adj Bannu Distt</t>
  </si>
  <si>
    <t>T.A..Adj D.I.Khan Distt</t>
  </si>
  <si>
    <t>T.A.Adj Kohat Distt</t>
  </si>
  <si>
    <t>T.A.Adj Tank Distt</t>
  </si>
  <si>
    <t xml:space="preserve">Bajaur Agency </t>
  </si>
  <si>
    <t>Diamir</t>
  </si>
  <si>
    <t>Banu</t>
  </si>
  <si>
    <t>Dir Lower</t>
  </si>
  <si>
    <t>D.I.Khan</t>
  </si>
  <si>
    <t>Tank</t>
  </si>
  <si>
    <t>Lakki Marwat</t>
  </si>
  <si>
    <t>Karachi</t>
  </si>
  <si>
    <t>Chiniot</t>
  </si>
  <si>
    <t>Nanakana Sahib</t>
  </si>
  <si>
    <t>Total rural and Peri-Urban UCs in the District</t>
  </si>
  <si>
    <t xml:space="preserve">Number of Districts  </t>
  </si>
  <si>
    <t xml:space="preserve">Number of Districts Having RSPs Presence  </t>
  </si>
  <si>
    <t>Number of Total Districts in the Province</t>
  </si>
  <si>
    <t>Province-wise Summary of RSPs Coverage/Outreach</t>
  </si>
  <si>
    <t>Name of RSP</t>
  </si>
  <si>
    <t>Name of Province/Area</t>
  </si>
  <si>
    <t xml:space="preserve">*overlapping in 21 districts and 385 Ucs. </t>
  </si>
  <si>
    <t>% cov  as of March 2011</t>
  </si>
  <si>
    <t># as of March, 2011</t>
  </si>
  <si>
    <t>Total Number of All COs Formed as of March, 2011</t>
  </si>
  <si>
    <t># of Organized Households</t>
  </si>
  <si>
    <t>Number of Districts with RSP Presence</t>
  </si>
  <si>
    <t xml:space="preserve">Number of Total Districts </t>
  </si>
  <si>
    <t xml:space="preserve">Number of Total Rural UCs </t>
  </si>
  <si>
    <t>Number of UCs with RSP Presence</t>
  </si>
  <si>
    <t xml:space="preserve">Total Number of Organised Households  </t>
  </si>
  <si>
    <t xml:space="preserve">Total Number of Rural Households  </t>
  </si>
  <si>
    <t>% of Organised households</t>
  </si>
  <si>
    <t>Khyber Pakhtunkhwa</t>
  </si>
  <si>
    <t>Azad Jamu and Kashmir</t>
  </si>
  <si>
    <t>Federal Adminstrated Tribal Areas/Frontier Regions</t>
  </si>
  <si>
    <t xml:space="preserve">Grand Total </t>
  </si>
  <si>
    <t># of Traditional Birth Attendants / Health workers Trained</t>
  </si>
  <si>
    <t># of Women Only LSOs</t>
  </si>
  <si>
    <t>#of LSO member Community Organizations</t>
  </si>
  <si>
    <t># of LSO member Village Organizations</t>
  </si>
  <si>
    <t xml:space="preserve"># of community members trained in vocational and Technical Skills, and Leadership and Management Skills </t>
  </si>
  <si>
    <t>Ex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</si>
</sst>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_-;\-* #,##0_-;_-* &quot;-&quot;??_-;_-@_-"/>
    <numFmt numFmtId="165" formatCode="_(* #,##0_);_(* \(#,##0\);_(* &quot;-&quot;??_);_(@_)"/>
    <numFmt numFmtId="166" formatCode="0.0%"/>
    <numFmt numFmtId="167" formatCode="_(* #,##0.0_);_(* \(#,##0.0\);_(* &quot;-&quot;??_);_(@_)"/>
  </numFmts>
  <fonts count="2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574">
    <xf numFmtId="0" fontId="0" fillId="0" borderId="0"/>
    <xf numFmtId="43" fontId="3" fillId="0" borderId="0" applyFont="0" applyFill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7" fillId="24" borderId="8" applyNumberFormat="0" applyAlignment="0" applyProtection="0"/>
    <xf numFmtId="0" fontId="7" fillId="24" borderId="8" applyNumberFormat="0" applyAlignment="0" applyProtection="0"/>
    <xf numFmtId="0" fontId="7" fillId="24" borderId="8" applyNumberFormat="0" applyAlignment="0" applyProtection="0"/>
    <xf numFmtId="0" fontId="7" fillId="24" borderId="8" applyNumberFormat="0" applyAlignment="0" applyProtection="0"/>
    <xf numFmtId="0" fontId="7" fillId="24" borderId="8" applyNumberFormat="0" applyAlignment="0" applyProtection="0"/>
    <xf numFmtId="0" fontId="7" fillId="24" borderId="8" applyNumberFormat="0" applyAlignment="0" applyProtection="0"/>
    <xf numFmtId="0" fontId="7" fillId="24" borderId="8" applyNumberFormat="0" applyAlignment="0" applyProtection="0"/>
    <xf numFmtId="0" fontId="7" fillId="24" borderId="8" applyNumberFormat="0" applyAlignment="0" applyProtection="0"/>
    <xf numFmtId="0" fontId="7" fillId="24" borderId="8" applyNumberFormat="0" applyAlignment="0" applyProtection="0"/>
    <xf numFmtId="0" fontId="7" fillId="24" borderId="8" applyNumberFormat="0" applyAlignment="0" applyProtection="0"/>
    <xf numFmtId="0" fontId="7" fillId="24" borderId="8" applyNumberFormat="0" applyAlignment="0" applyProtection="0"/>
    <xf numFmtId="0" fontId="7" fillId="24" borderId="8" applyNumberFormat="0" applyAlignment="0" applyProtection="0"/>
    <xf numFmtId="0" fontId="7" fillId="24" borderId="8" applyNumberFormat="0" applyAlignment="0" applyProtection="0"/>
    <xf numFmtId="0" fontId="8" fillId="25" borderId="9" applyNumberFormat="0" applyAlignment="0" applyProtection="0"/>
    <xf numFmtId="0" fontId="8" fillId="25" borderId="9" applyNumberFormat="0" applyAlignment="0" applyProtection="0"/>
    <xf numFmtId="0" fontId="8" fillId="25" borderId="9" applyNumberFormat="0" applyAlignment="0" applyProtection="0"/>
    <xf numFmtId="0" fontId="8" fillId="25" borderId="9" applyNumberFormat="0" applyAlignment="0" applyProtection="0"/>
    <xf numFmtId="0" fontId="8" fillId="25" borderId="9" applyNumberFormat="0" applyAlignment="0" applyProtection="0"/>
    <xf numFmtId="0" fontId="8" fillId="25" borderId="9" applyNumberFormat="0" applyAlignment="0" applyProtection="0"/>
    <xf numFmtId="0" fontId="8" fillId="25" borderId="9" applyNumberFormat="0" applyAlignment="0" applyProtection="0"/>
    <xf numFmtId="0" fontId="8" fillId="25" borderId="9" applyNumberFormat="0" applyAlignment="0" applyProtection="0"/>
    <xf numFmtId="0" fontId="8" fillId="25" borderId="9" applyNumberFormat="0" applyAlignment="0" applyProtection="0"/>
    <xf numFmtId="0" fontId="8" fillId="25" borderId="9" applyNumberFormat="0" applyAlignment="0" applyProtection="0"/>
    <xf numFmtId="0" fontId="8" fillId="25" borderId="9" applyNumberFormat="0" applyAlignment="0" applyProtection="0"/>
    <xf numFmtId="0" fontId="8" fillId="25" borderId="9" applyNumberFormat="0" applyAlignment="0" applyProtection="0"/>
    <xf numFmtId="0" fontId="8" fillId="25" borderId="9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1" fillId="0" borderId="10" applyNumberFormat="0" applyFill="0" applyAlignment="0" applyProtection="0"/>
    <xf numFmtId="0" fontId="11" fillId="0" borderId="10" applyNumberFormat="0" applyFill="0" applyAlignment="0" applyProtection="0"/>
    <xf numFmtId="0" fontId="11" fillId="0" borderId="10" applyNumberFormat="0" applyFill="0" applyAlignment="0" applyProtection="0"/>
    <xf numFmtId="0" fontId="11" fillId="0" borderId="10" applyNumberFormat="0" applyFill="0" applyAlignment="0" applyProtection="0"/>
    <xf numFmtId="0" fontId="11" fillId="0" borderId="10" applyNumberFormat="0" applyFill="0" applyAlignment="0" applyProtection="0"/>
    <xf numFmtId="0" fontId="11" fillId="0" borderId="10" applyNumberFormat="0" applyFill="0" applyAlignment="0" applyProtection="0"/>
    <xf numFmtId="0" fontId="11" fillId="0" borderId="10" applyNumberFormat="0" applyFill="0" applyAlignment="0" applyProtection="0"/>
    <xf numFmtId="0" fontId="11" fillId="0" borderId="10" applyNumberFormat="0" applyFill="0" applyAlignment="0" applyProtection="0"/>
    <xf numFmtId="0" fontId="11" fillId="0" borderId="10" applyNumberFormat="0" applyFill="0" applyAlignment="0" applyProtection="0"/>
    <xf numFmtId="0" fontId="11" fillId="0" borderId="10" applyNumberFormat="0" applyFill="0" applyAlignment="0" applyProtection="0"/>
    <xf numFmtId="0" fontId="11" fillId="0" borderId="10" applyNumberFormat="0" applyFill="0" applyAlignment="0" applyProtection="0"/>
    <xf numFmtId="0" fontId="11" fillId="0" borderId="10" applyNumberFormat="0" applyFill="0" applyAlignment="0" applyProtection="0"/>
    <xf numFmtId="0" fontId="11" fillId="0" borderId="10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11" borderId="8" applyNumberFormat="0" applyAlignment="0" applyProtection="0"/>
    <xf numFmtId="0" fontId="14" fillId="11" borderId="8" applyNumberFormat="0" applyAlignment="0" applyProtection="0"/>
    <xf numFmtId="0" fontId="14" fillId="11" borderId="8" applyNumberFormat="0" applyAlignment="0" applyProtection="0"/>
    <xf numFmtId="0" fontId="14" fillId="11" borderId="8" applyNumberFormat="0" applyAlignment="0" applyProtection="0"/>
    <xf numFmtId="0" fontId="14" fillId="11" borderId="8" applyNumberFormat="0" applyAlignment="0" applyProtection="0"/>
    <xf numFmtId="0" fontId="14" fillId="11" borderId="8" applyNumberFormat="0" applyAlignment="0" applyProtection="0"/>
    <xf numFmtId="0" fontId="14" fillId="11" borderId="8" applyNumberFormat="0" applyAlignment="0" applyProtection="0"/>
    <xf numFmtId="0" fontId="14" fillId="11" borderId="8" applyNumberFormat="0" applyAlignment="0" applyProtection="0"/>
    <xf numFmtId="0" fontId="14" fillId="11" borderId="8" applyNumberFormat="0" applyAlignment="0" applyProtection="0"/>
    <xf numFmtId="0" fontId="14" fillId="11" borderId="8" applyNumberFormat="0" applyAlignment="0" applyProtection="0"/>
    <xf numFmtId="0" fontId="14" fillId="11" borderId="8" applyNumberFormat="0" applyAlignment="0" applyProtection="0"/>
    <xf numFmtId="0" fontId="14" fillId="11" borderId="8" applyNumberFormat="0" applyAlignment="0" applyProtection="0"/>
    <xf numFmtId="0" fontId="14" fillId="11" borderId="8" applyNumberFormat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2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27" borderId="14" applyNumberFormat="0" applyFont="0" applyAlignment="0" applyProtection="0"/>
    <xf numFmtId="0" fontId="3" fillId="27" borderId="14" applyNumberFormat="0" applyFont="0" applyAlignment="0" applyProtection="0"/>
    <xf numFmtId="0" fontId="3" fillId="27" borderId="14" applyNumberFormat="0" applyFont="0" applyAlignment="0" applyProtection="0"/>
    <xf numFmtId="0" fontId="3" fillId="27" borderId="14" applyNumberFormat="0" applyFont="0" applyAlignment="0" applyProtection="0"/>
    <xf numFmtId="0" fontId="3" fillId="27" borderId="14" applyNumberFormat="0" applyFont="0" applyAlignment="0" applyProtection="0"/>
    <xf numFmtId="0" fontId="3" fillId="27" borderId="14" applyNumberFormat="0" applyFont="0" applyAlignment="0" applyProtection="0"/>
    <xf numFmtId="0" fontId="3" fillId="27" borderId="14" applyNumberFormat="0" applyFont="0" applyAlignment="0" applyProtection="0"/>
    <xf numFmtId="0" fontId="3" fillId="27" borderId="14" applyNumberFormat="0" applyFont="0" applyAlignment="0" applyProtection="0"/>
    <xf numFmtId="0" fontId="3" fillId="27" borderId="14" applyNumberFormat="0" applyFont="0" applyAlignment="0" applyProtection="0"/>
    <xf numFmtId="0" fontId="3" fillId="27" borderId="14" applyNumberFormat="0" applyFont="0" applyAlignment="0" applyProtection="0"/>
    <xf numFmtId="0" fontId="3" fillId="27" borderId="14" applyNumberFormat="0" applyFont="0" applyAlignment="0" applyProtection="0"/>
    <xf numFmtId="0" fontId="3" fillId="27" borderId="14" applyNumberFormat="0" applyFont="0" applyAlignment="0" applyProtection="0"/>
    <xf numFmtId="0" fontId="3" fillId="27" borderId="14" applyNumberFormat="0" applyFont="0" applyAlignment="0" applyProtection="0"/>
    <xf numFmtId="0" fontId="17" fillId="24" borderId="15" applyNumberFormat="0" applyAlignment="0" applyProtection="0"/>
    <xf numFmtId="0" fontId="17" fillId="24" borderId="15" applyNumberFormat="0" applyAlignment="0" applyProtection="0"/>
    <xf numFmtId="0" fontId="17" fillId="24" borderId="15" applyNumberFormat="0" applyAlignment="0" applyProtection="0"/>
    <xf numFmtId="0" fontId="17" fillId="24" borderId="15" applyNumberFormat="0" applyAlignment="0" applyProtection="0"/>
    <xf numFmtId="0" fontId="17" fillId="24" borderId="15" applyNumberFormat="0" applyAlignment="0" applyProtection="0"/>
    <xf numFmtId="0" fontId="17" fillId="24" borderId="15" applyNumberFormat="0" applyAlignment="0" applyProtection="0"/>
    <xf numFmtId="0" fontId="17" fillId="24" borderId="15" applyNumberFormat="0" applyAlignment="0" applyProtection="0"/>
    <xf numFmtId="0" fontId="17" fillId="24" borderId="15" applyNumberFormat="0" applyAlignment="0" applyProtection="0"/>
    <xf numFmtId="0" fontId="17" fillId="24" borderId="15" applyNumberFormat="0" applyAlignment="0" applyProtection="0"/>
    <xf numFmtId="0" fontId="17" fillId="24" borderId="15" applyNumberFormat="0" applyAlignment="0" applyProtection="0"/>
    <xf numFmtId="0" fontId="17" fillId="24" borderId="15" applyNumberFormat="0" applyAlignment="0" applyProtection="0"/>
    <xf numFmtId="0" fontId="17" fillId="24" borderId="15" applyNumberFormat="0" applyAlignment="0" applyProtection="0"/>
    <xf numFmtId="0" fontId="17" fillId="24" borderId="15" applyNumberFormat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81">
    <xf numFmtId="0" fontId="0" fillId="0" borderId="0" xfId="0"/>
    <xf numFmtId="0" fontId="21" fillId="0" borderId="0" xfId="0" applyFont="1" applyFill="1"/>
    <xf numFmtId="165" fontId="22" fillId="0" borderId="0" xfId="1" applyNumberFormat="1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165" fontId="21" fillId="0" borderId="0" xfId="1" applyNumberFormat="1" applyFont="1" applyFill="1" applyAlignment="1">
      <alignment horizontal="center"/>
    </xf>
    <xf numFmtId="0" fontId="22" fillId="0" borderId="0" xfId="0" applyFont="1" applyFill="1"/>
    <xf numFmtId="0" fontId="21" fillId="2" borderId="0" xfId="0" applyFont="1" applyFill="1"/>
    <xf numFmtId="0" fontId="21" fillId="0" borderId="0" xfId="0" applyFont="1" applyFill="1" applyAlignment="1">
      <alignment vertical="center"/>
    </xf>
    <xf numFmtId="0" fontId="22" fillId="0" borderId="0" xfId="0" applyFont="1" applyFill="1" applyAlignment="1">
      <alignment vertical="center"/>
    </xf>
    <xf numFmtId="165" fontId="21" fillId="0" borderId="0" xfId="0" applyNumberFormat="1" applyFont="1" applyFill="1" applyAlignment="1">
      <alignment horizontal="center"/>
    </xf>
    <xf numFmtId="166" fontId="21" fillId="0" borderId="0" xfId="1" applyNumberFormat="1" applyFont="1" applyFill="1"/>
    <xf numFmtId="43" fontId="21" fillId="0" borderId="0" xfId="0" applyNumberFormat="1" applyFont="1" applyFill="1"/>
    <xf numFmtId="165" fontId="21" fillId="0" borderId="0" xfId="1" applyNumberFormat="1" applyFont="1" applyFill="1"/>
    <xf numFmtId="165" fontId="21" fillId="0" borderId="0" xfId="0" applyNumberFormat="1" applyFont="1" applyFill="1"/>
    <xf numFmtId="165" fontId="23" fillId="0" borderId="0" xfId="1" applyNumberFormat="1" applyFont="1" applyFill="1" applyAlignment="1">
      <alignment horizontal="center"/>
    </xf>
    <xf numFmtId="0" fontId="24" fillId="0" borderId="0" xfId="0" applyFont="1" applyFill="1"/>
    <xf numFmtId="0" fontId="24" fillId="0" borderId="0" xfId="0" applyFont="1" applyFill="1" applyAlignment="1">
      <alignment horizontal="center"/>
    </xf>
    <xf numFmtId="165" fontId="24" fillId="0" borderId="0" xfId="1" applyNumberFormat="1" applyFont="1" applyFill="1" applyAlignment="1">
      <alignment horizontal="center"/>
    </xf>
    <xf numFmtId="166" fontId="24" fillId="0" borderId="0" xfId="1" applyNumberFormat="1" applyFont="1" applyFill="1" applyAlignment="1">
      <alignment horizontal="center"/>
    </xf>
    <xf numFmtId="165" fontId="23" fillId="2" borderId="17" xfId="1" applyNumberFormat="1" applyFont="1" applyFill="1" applyBorder="1" applyAlignment="1">
      <alignment horizontal="left" vertical="center"/>
    </xf>
    <xf numFmtId="0" fontId="23" fillId="2" borderId="18" xfId="0" applyFont="1" applyFill="1" applyBorder="1" applyAlignment="1">
      <alignment vertical="center"/>
    </xf>
    <xf numFmtId="165" fontId="23" fillId="2" borderId="18" xfId="1" applyNumberFormat="1" applyFont="1" applyFill="1" applyBorder="1" applyAlignment="1">
      <alignment horizontal="center" vertical="center"/>
    </xf>
    <xf numFmtId="166" fontId="23" fillId="2" borderId="18" xfId="1" applyNumberFormat="1" applyFont="1" applyFill="1" applyBorder="1" applyAlignment="1">
      <alignment horizontal="center" vertical="center"/>
    </xf>
    <xf numFmtId="165" fontId="23" fillId="2" borderId="19" xfId="1" applyNumberFormat="1" applyFont="1" applyFill="1" applyBorder="1" applyAlignment="1">
      <alignment horizontal="center" vertical="center"/>
    </xf>
    <xf numFmtId="165" fontId="24" fillId="0" borderId="6" xfId="1" applyNumberFormat="1" applyFont="1" applyFill="1" applyBorder="1" applyAlignment="1">
      <alignment horizontal="center" vertical="center"/>
    </xf>
    <xf numFmtId="0" fontId="24" fillId="0" borderId="7" xfId="0" applyFont="1" applyFill="1" applyBorder="1" applyAlignment="1">
      <alignment vertical="center"/>
    </xf>
    <xf numFmtId="165" fontId="24" fillId="0" borderId="7" xfId="1" applyNumberFormat="1" applyFont="1" applyFill="1" applyBorder="1" applyAlignment="1">
      <alignment horizontal="center" vertical="center"/>
    </xf>
    <xf numFmtId="167" fontId="24" fillId="0" borderId="7" xfId="1" applyNumberFormat="1" applyFont="1" applyFill="1" applyBorder="1" applyAlignment="1">
      <alignment horizontal="center" vertical="center"/>
    </xf>
    <xf numFmtId="165" fontId="24" fillId="0" borderId="20" xfId="1" applyNumberFormat="1" applyFont="1" applyFill="1" applyBorder="1" applyAlignment="1">
      <alignment horizontal="center" vertical="center"/>
    </xf>
    <xf numFmtId="10" fontId="24" fillId="0" borderId="21" xfId="1" applyNumberFormat="1" applyFont="1" applyFill="1" applyBorder="1" applyAlignment="1">
      <alignment horizontal="center" vertical="center"/>
    </xf>
    <xf numFmtId="165" fontId="23" fillId="0" borderId="4" xfId="1" applyNumberFormat="1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165" fontId="23" fillId="0" borderId="5" xfId="1" applyNumberFormat="1" applyFont="1" applyFill="1" applyBorder="1" applyAlignment="1">
      <alignment horizontal="center" vertical="center"/>
    </xf>
    <xf numFmtId="167" fontId="23" fillId="0" borderId="5" xfId="1" applyNumberFormat="1" applyFont="1" applyFill="1" applyBorder="1" applyAlignment="1">
      <alignment horizontal="center" vertical="center"/>
    </xf>
    <xf numFmtId="10" fontId="23" fillId="0" borderId="22" xfId="1" applyNumberFormat="1" applyFont="1" applyFill="1" applyBorder="1" applyAlignment="1">
      <alignment horizontal="center" vertical="center"/>
    </xf>
    <xf numFmtId="165" fontId="24" fillId="0" borderId="23" xfId="1" applyNumberFormat="1" applyFont="1" applyFill="1" applyBorder="1" applyAlignment="1">
      <alignment horizontal="center" vertical="center"/>
    </xf>
    <xf numFmtId="167" fontId="24" fillId="0" borderId="23" xfId="1" applyNumberFormat="1" applyFont="1" applyFill="1" applyBorder="1" applyAlignment="1">
      <alignment horizontal="center" vertical="center"/>
    </xf>
    <xf numFmtId="165" fontId="24" fillId="0" borderId="0" xfId="1" applyNumberFormat="1" applyFont="1" applyFill="1" applyBorder="1" applyAlignment="1">
      <alignment horizontal="center" vertical="center"/>
    </xf>
    <xf numFmtId="165" fontId="24" fillId="2" borderId="2" xfId="1" applyNumberFormat="1" applyFont="1" applyFill="1" applyBorder="1" applyAlignment="1">
      <alignment horizontal="center" vertical="center"/>
    </xf>
    <xf numFmtId="167" fontId="24" fillId="2" borderId="2" xfId="1" applyNumberFormat="1" applyFont="1" applyFill="1" applyBorder="1" applyAlignment="1">
      <alignment horizontal="center" vertical="center"/>
    </xf>
    <xf numFmtId="165" fontId="24" fillId="2" borderId="18" xfId="1" applyNumberFormat="1" applyFont="1" applyFill="1" applyBorder="1" applyAlignment="1">
      <alignment horizontal="center" vertical="center"/>
    </xf>
    <xf numFmtId="165" fontId="24" fillId="0" borderId="24" xfId="1" applyNumberFormat="1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/>
    </xf>
    <xf numFmtId="0" fontId="24" fillId="0" borderId="21" xfId="0" applyFont="1" applyFill="1" applyBorder="1" applyAlignment="1">
      <alignment horizontal="center" vertical="center"/>
    </xf>
    <xf numFmtId="0" fontId="24" fillId="0" borderId="7" xfId="0" applyFont="1" applyFill="1" applyBorder="1" applyAlignment="1">
      <alignment horizontal="left" vertical="center"/>
    </xf>
    <xf numFmtId="165" fontId="24" fillId="5" borderId="7" xfId="1" applyNumberFormat="1" applyFont="1" applyFill="1" applyBorder="1" applyAlignment="1">
      <alignment horizontal="center" vertical="center"/>
    </xf>
    <xf numFmtId="165" fontId="23" fillId="0" borderId="0" xfId="1" applyNumberFormat="1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vertical="center"/>
    </xf>
    <xf numFmtId="165" fontId="24" fillId="0" borderId="31" xfId="1" applyNumberFormat="1" applyFont="1" applyFill="1" applyBorder="1" applyAlignment="1">
      <alignment horizontal="center" vertical="center"/>
    </xf>
    <xf numFmtId="0" fontId="24" fillId="0" borderId="32" xfId="0" applyFont="1" applyFill="1" applyBorder="1" applyAlignment="1">
      <alignment vertical="center"/>
    </xf>
    <xf numFmtId="165" fontId="24" fillId="0" borderId="32" xfId="1" applyNumberFormat="1" applyFont="1" applyFill="1" applyBorder="1" applyAlignment="1">
      <alignment horizontal="center" vertical="center"/>
    </xf>
    <xf numFmtId="167" fontId="24" fillId="0" borderId="32" xfId="1" applyNumberFormat="1" applyFont="1" applyFill="1" applyBorder="1" applyAlignment="1">
      <alignment horizontal="center" vertical="center"/>
    </xf>
    <xf numFmtId="165" fontId="24" fillId="0" borderId="33" xfId="1" applyNumberFormat="1" applyFont="1" applyFill="1" applyBorder="1" applyAlignment="1">
      <alignment horizontal="center" vertical="center"/>
    </xf>
    <xf numFmtId="165" fontId="24" fillId="0" borderId="34" xfId="1" applyNumberFormat="1" applyFont="1" applyFill="1" applyBorder="1" applyAlignment="1">
      <alignment horizontal="center" vertical="center"/>
    </xf>
    <xf numFmtId="0" fontId="24" fillId="0" borderId="35" xfId="0" applyFont="1" applyFill="1" applyBorder="1" applyAlignment="1">
      <alignment horizontal="center" vertical="center"/>
    </xf>
    <xf numFmtId="165" fontId="23" fillId="0" borderId="36" xfId="1" applyNumberFormat="1" applyFont="1" applyFill="1" applyBorder="1" applyAlignment="1">
      <alignment horizontal="center" vertical="center"/>
    </xf>
    <xf numFmtId="0" fontId="23" fillId="0" borderId="37" xfId="0" applyFont="1" applyFill="1" applyBorder="1" applyAlignment="1">
      <alignment horizontal="center" vertical="center"/>
    </xf>
    <xf numFmtId="165" fontId="23" fillId="0" borderId="37" xfId="1" applyNumberFormat="1" applyFont="1" applyFill="1" applyBorder="1" applyAlignment="1">
      <alignment horizontal="center" vertical="center"/>
    </xf>
    <xf numFmtId="167" fontId="24" fillId="0" borderId="38" xfId="1" applyNumberFormat="1" applyFont="1" applyFill="1" applyBorder="1" applyAlignment="1">
      <alignment horizontal="center" vertical="center"/>
    </xf>
    <xf numFmtId="165" fontId="24" fillId="0" borderId="38" xfId="1" applyNumberFormat="1" applyFont="1" applyFill="1" applyBorder="1" applyAlignment="1">
      <alignment horizontal="center" vertical="center"/>
    </xf>
    <xf numFmtId="165" fontId="24" fillId="0" borderId="37" xfId="1" applyNumberFormat="1" applyFont="1" applyFill="1" applyBorder="1" applyAlignment="1">
      <alignment horizontal="center" vertical="center"/>
    </xf>
    <xf numFmtId="10" fontId="23" fillId="0" borderId="39" xfId="1" applyNumberFormat="1" applyFont="1" applyFill="1" applyBorder="1" applyAlignment="1">
      <alignment horizontal="center" vertical="center"/>
    </xf>
    <xf numFmtId="0" fontId="24" fillId="0" borderId="7" xfId="0" applyFont="1" applyBorder="1"/>
    <xf numFmtId="0" fontId="23" fillId="0" borderId="0" xfId="0" applyFont="1" applyFill="1" applyBorder="1" applyAlignment="1">
      <alignment horizontal="center" vertical="center"/>
    </xf>
    <xf numFmtId="10" fontId="23" fillId="0" borderId="0" xfId="1" applyNumberFormat="1" applyFont="1" applyFill="1" applyBorder="1" applyAlignment="1">
      <alignment horizontal="center" vertical="center"/>
    </xf>
    <xf numFmtId="165" fontId="23" fillId="0" borderId="25" xfId="1" applyNumberFormat="1" applyFont="1" applyFill="1" applyBorder="1"/>
    <xf numFmtId="0" fontId="23" fillId="0" borderId="26" xfId="0" applyFont="1" applyFill="1" applyBorder="1"/>
    <xf numFmtId="167" fontId="23" fillId="0" borderId="26" xfId="1" applyNumberFormat="1" applyFont="1" applyFill="1" applyBorder="1" applyAlignment="1">
      <alignment horizontal="center" vertical="center"/>
    </xf>
    <xf numFmtId="0" fontId="23" fillId="0" borderId="27" xfId="0" applyFont="1" applyFill="1" applyBorder="1" applyAlignment="1">
      <alignment horizontal="center"/>
    </xf>
    <xf numFmtId="165" fontId="23" fillId="0" borderId="2" xfId="1" applyNumberFormat="1" applyFont="1" applyFill="1" applyBorder="1" applyAlignment="1">
      <alignment horizontal="center" vertical="center"/>
    </xf>
    <xf numFmtId="165" fontId="23" fillId="0" borderId="28" xfId="1" applyNumberFormat="1" applyFont="1" applyFill="1" applyBorder="1" applyAlignment="1">
      <alignment horizontal="center" vertical="center"/>
    </xf>
    <xf numFmtId="167" fontId="24" fillId="0" borderId="2" xfId="1" applyNumberFormat="1" applyFont="1" applyFill="1" applyBorder="1" applyAlignment="1">
      <alignment horizontal="center" vertical="center"/>
    </xf>
    <xf numFmtId="165" fontId="23" fillId="0" borderId="29" xfId="1" applyNumberFormat="1" applyFont="1" applyFill="1" applyBorder="1" applyAlignment="1">
      <alignment horizontal="center" vertical="center"/>
    </xf>
    <xf numFmtId="165" fontId="23" fillId="0" borderId="3" xfId="1" applyNumberFormat="1" applyFont="1" applyFill="1" applyBorder="1" applyAlignment="1">
      <alignment horizontal="center" vertical="center"/>
    </xf>
    <xf numFmtId="165" fontId="23" fillId="0" borderId="30" xfId="1" applyNumberFormat="1" applyFont="1" applyFill="1" applyBorder="1" applyAlignment="1">
      <alignment horizontal="center" vertical="center"/>
    </xf>
    <xf numFmtId="9" fontId="23" fillId="0" borderId="22" xfId="1" applyNumberFormat="1" applyFont="1" applyFill="1" applyBorder="1" applyAlignment="1">
      <alignment horizontal="center" vertical="center"/>
    </xf>
    <xf numFmtId="165" fontId="23" fillId="0" borderId="26" xfId="1" applyNumberFormat="1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left" vertical="center"/>
    </xf>
    <xf numFmtId="165" fontId="24" fillId="0" borderId="7" xfId="1" applyNumberFormat="1" applyFont="1" applyFill="1" applyBorder="1" applyAlignment="1">
      <alignment vertical="center"/>
    </xf>
    <xf numFmtId="165" fontId="24" fillId="0" borderId="0" xfId="1" applyNumberFormat="1" applyFont="1" applyFill="1" applyAlignment="1">
      <alignment horizontal="center" vertical="center"/>
    </xf>
    <xf numFmtId="167" fontId="24" fillId="0" borderId="0" xfId="1" applyNumberFormat="1" applyFont="1" applyFill="1" applyAlignment="1">
      <alignment horizontal="center" vertical="center"/>
    </xf>
    <xf numFmtId="167" fontId="24" fillId="0" borderId="0" xfId="1" applyNumberFormat="1" applyFont="1" applyFill="1" applyBorder="1" applyAlignment="1">
      <alignment horizontal="center" vertical="center"/>
    </xf>
    <xf numFmtId="167" fontId="23" fillId="0" borderId="29" xfId="1" applyNumberFormat="1" applyFont="1" applyFill="1" applyBorder="1" applyAlignment="1">
      <alignment horizontal="center" vertical="center"/>
    </xf>
    <xf numFmtId="167" fontId="24" fillId="2" borderId="18" xfId="1" applyNumberFormat="1" applyFont="1" applyFill="1" applyBorder="1" applyAlignment="1">
      <alignment horizontal="center" vertical="center"/>
    </xf>
    <xf numFmtId="167" fontId="24" fillId="0" borderId="37" xfId="1" applyNumberFormat="1" applyFont="1" applyFill="1" applyBorder="1" applyAlignment="1">
      <alignment horizontal="center" vertical="center"/>
    </xf>
    <xf numFmtId="164" fontId="25" fillId="0" borderId="0" xfId="1" applyNumberFormat="1" applyFont="1" applyFill="1" applyBorder="1"/>
    <xf numFmtId="0" fontId="25" fillId="0" borderId="0" xfId="0" applyFont="1"/>
    <xf numFmtId="0" fontId="26" fillId="0" borderId="0" xfId="0" applyFont="1" applyFill="1" applyBorder="1"/>
    <xf numFmtId="0" fontId="26" fillId="0" borderId="0" xfId="0" applyFont="1" applyFill="1" applyBorder="1" applyAlignment="1">
      <alignment horizontal="center"/>
    </xf>
    <xf numFmtId="164" fontId="25" fillId="0" borderId="0" xfId="1" applyNumberFormat="1" applyFont="1"/>
    <xf numFmtId="164" fontId="25" fillId="0" borderId="7" xfId="1" applyNumberFormat="1" applyFont="1" applyBorder="1" applyAlignment="1">
      <alignment horizontal="center" wrapText="1"/>
    </xf>
    <xf numFmtId="164" fontId="25" fillId="0" borderId="7" xfId="1" applyNumberFormat="1" applyFont="1" applyFill="1" applyBorder="1" applyAlignment="1">
      <alignment horizontal="center" wrapText="1"/>
    </xf>
    <xf numFmtId="164" fontId="26" fillId="2" borderId="7" xfId="1" applyNumberFormat="1" applyFont="1" applyFill="1" applyBorder="1" applyAlignment="1">
      <alignment horizontal="center" wrapText="1"/>
    </xf>
    <xf numFmtId="164" fontId="26" fillId="2" borderId="7" xfId="1" applyNumberFormat="1" applyFont="1" applyFill="1" applyBorder="1"/>
    <xf numFmtId="43" fontId="25" fillId="0" borderId="7" xfId="1" applyFont="1" applyBorder="1" applyAlignment="1">
      <alignment horizontal="center" wrapText="1"/>
    </xf>
    <xf numFmtId="43" fontId="25" fillId="0" borderId="0" xfId="1" applyFont="1"/>
    <xf numFmtId="43" fontId="25" fillId="0" borderId="7" xfId="1" applyFont="1" applyFill="1" applyBorder="1" applyAlignment="1">
      <alignment horizontal="center" wrapText="1"/>
    </xf>
    <xf numFmtId="43" fontId="26" fillId="2" borderId="7" xfId="1" applyFont="1" applyFill="1" applyBorder="1" applyAlignment="1">
      <alignment horizontal="center" wrapText="1"/>
    </xf>
    <xf numFmtId="164" fontId="26" fillId="3" borderId="7" xfId="1" applyNumberFormat="1" applyFont="1" applyFill="1" applyBorder="1" applyAlignment="1">
      <alignment horizontal="center" wrapText="1"/>
    </xf>
    <xf numFmtId="43" fontId="25" fillId="3" borderId="7" xfId="1" applyFont="1" applyFill="1" applyBorder="1" applyAlignment="1">
      <alignment horizontal="center" wrapText="1"/>
    </xf>
    <xf numFmtId="165" fontId="25" fillId="0" borderId="7" xfId="1" applyNumberFormat="1" applyFont="1" applyBorder="1" applyAlignment="1">
      <alignment horizontal="center" wrapText="1"/>
    </xf>
    <xf numFmtId="165" fontId="25" fillId="0" borderId="0" xfId="1" applyNumberFormat="1" applyFont="1"/>
    <xf numFmtId="165" fontId="25" fillId="0" borderId="7" xfId="1" applyNumberFormat="1" applyFont="1" applyFill="1" applyBorder="1" applyAlignment="1">
      <alignment horizontal="center" wrapText="1"/>
    </xf>
    <xf numFmtId="165" fontId="25" fillId="3" borderId="7" xfId="1" applyNumberFormat="1" applyFont="1" applyFill="1" applyBorder="1" applyAlignment="1">
      <alignment horizontal="center" wrapText="1"/>
    </xf>
    <xf numFmtId="38" fontId="25" fillId="0" borderId="0" xfId="0" applyNumberFormat="1" applyFont="1"/>
    <xf numFmtId="38" fontId="25" fillId="0" borderId="0" xfId="1" applyNumberFormat="1" applyFont="1"/>
    <xf numFmtId="40" fontId="25" fillId="0" borderId="0" xfId="1" applyNumberFormat="1" applyFont="1"/>
    <xf numFmtId="0" fontId="25" fillId="0" borderId="0" xfId="0" applyFont="1" applyAlignment="1">
      <alignment vertical="center"/>
    </xf>
    <xf numFmtId="164" fontId="26" fillId="2" borderId="5" xfId="1" applyNumberFormat="1" applyFont="1" applyFill="1" applyBorder="1" applyAlignment="1">
      <alignment horizontal="center" wrapText="1"/>
    </xf>
    <xf numFmtId="0" fontId="25" fillId="0" borderId="0" xfId="0" applyFont="1" applyBorder="1"/>
    <xf numFmtId="0" fontId="26" fillId="0" borderId="0" xfId="0" applyFont="1" applyBorder="1"/>
    <xf numFmtId="164" fontId="25" fillId="0" borderId="0" xfId="0" applyNumberFormat="1" applyFont="1"/>
    <xf numFmtId="0" fontId="25" fillId="0" borderId="0" xfId="0" applyFont="1" applyAlignment="1">
      <alignment vertical="top"/>
    </xf>
    <xf numFmtId="165" fontId="25" fillId="0" borderId="7" xfId="1" applyNumberFormat="1" applyFont="1" applyFill="1" applyBorder="1" applyAlignment="1">
      <alignment horizontal="center" vertical="center"/>
    </xf>
    <xf numFmtId="165" fontId="25" fillId="0" borderId="7" xfId="1" applyNumberFormat="1" applyFont="1" applyFill="1" applyBorder="1" applyAlignment="1">
      <alignment horizontal="center" vertical="center" wrapText="1"/>
    </xf>
    <xf numFmtId="165" fontId="26" fillId="2" borderId="7" xfId="1" applyNumberFormat="1" applyFont="1" applyFill="1" applyBorder="1" applyAlignment="1">
      <alignment horizontal="center" vertical="center"/>
    </xf>
    <xf numFmtId="165" fontId="25" fillId="0" borderId="2" xfId="1" applyNumberFormat="1" applyFont="1" applyFill="1" applyBorder="1" applyAlignment="1">
      <alignment horizontal="center" vertical="center"/>
    </xf>
    <xf numFmtId="165" fontId="26" fillId="3" borderId="7" xfId="1" applyNumberFormat="1" applyFont="1" applyFill="1" applyBorder="1" applyAlignment="1">
      <alignment horizontal="center" vertical="center"/>
    </xf>
    <xf numFmtId="165" fontId="25" fillId="0" borderId="7" xfId="1" applyNumberFormat="1" applyFont="1" applyBorder="1" applyAlignment="1">
      <alignment horizontal="center" vertical="center"/>
    </xf>
    <xf numFmtId="165" fontId="26" fillId="2" borderId="5" xfId="1" applyNumberFormat="1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/>
    </xf>
    <xf numFmtId="0" fontId="26" fillId="0" borderId="3" xfId="0" applyFont="1" applyFill="1" applyBorder="1" applyAlignment="1">
      <alignment horizontal="center" vertical="center"/>
    </xf>
    <xf numFmtId="165" fontId="23" fillId="0" borderId="22" xfId="1" applyNumberFormat="1" applyFont="1" applyFill="1" applyBorder="1" applyAlignment="1">
      <alignment horizontal="center" vertical="center"/>
    </xf>
    <xf numFmtId="165" fontId="24" fillId="0" borderId="21" xfId="1" applyNumberFormat="1" applyFont="1" applyFill="1" applyBorder="1" applyAlignment="1">
      <alignment horizontal="left" vertical="center"/>
    </xf>
    <xf numFmtId="165" fontId="24" fillId="0" borderId="21" xfId="1" applyNumberFormat="1" applyFont="1" applyFill="1" applyBorder="1" applyAlignment="1">
      <alignment horizontal="center" vertical="center"/>
    </xf>
    <xf numFmtId="167" fontId="23" fillId="0" borderId="23" xfId="1" applyNumberFormat="1" applyFont="1" applyFill="1" applyBorder="1" applyAlignment="1">
      <alignment horizontal="center" vertical="center"/>
    </xf>
    <xf numFmtId="167" fontId="23" fillId="0" borderId="0" xfId="1" applyNumberFormat="1" applyFont="1" applyFill="1" applyBorder="1" applyAlignment="1">
      <alignment horizontal="center" vertical="center"/>
    </xf>
    <xf numFmtId="9" fontId="23" fillId="0" borderId="0" xfId="1" applyNumberFormat="1" applyFont="1" applyFill="1" applyBorder="1" applyAlignment="1">
      <alignment horizontal="center" vertical="center"/>
    </xf>
    <xf numFmtId="165" fontId="23" fillId="0" borderId="0" xfId="1" applyNumberFormat="1" applyFont="1" applyFill="1" applyAlignment="1">
      <alignment horizontal="left"/>
    </xf>
    <xf numFmtId="165" fontId="24" fillId="0" borderId="0" xfId="1" applyNumberFormat="1" applyFont="1" applyFill="1" applyAlignment="1">
      <alignment horizontal="left"/>
    </xf>
    <xf numFmtId="165" fontId="24" fillId="0" borderId="1" xfId="1" applyNumberFormat="1" applyFont="1" applyFill="1" applyBorder="1" applyAlignment="1">
      <alignment horizontal="left" vertical="center" wrapText="1"/>
    </xf>
    <xf numFmtId="164" fontId="25" fillId="0" borderId="0" xfId="1" applyNumberFormat="1" applyFont="1" applyFill="1"/>
    <xf numFmtId="43" fontId="25" fillId="0" borderId="0" xfId="1" applyFont="1" applyFill="1"/>
    <xf numFmtId="167" fontId="25" fillId="0" borderId="0" xfId="1" applyNumberFormat="1" applyFont="1" applyFill="1"/>
    <xf numFmtId="43" fontId="21" fillId="0" borderId="0" xfId="0" applyNumberFormat="1" applyFont="1" applyFill="1" applyAlignment="1">
      <alignment vertical="center"/>
    </xf>
    <xf numFmtId="9" fontId="23" fillId="2" borderId="5" xfId="1" applyNumberFormat="1" applyFont="1" applyFill="1" applyBorder="1" applyAlignment="1">
      <alignment horizontal="center" vertical="center" wrapText="1"/>
    </xf>
    <xf numFmtId="165" fontId="24" fillId="0" borderId="35" xfId="1" applyNumberFormat="1" applyFont="1" applyFill="1" applyBorder="1" applyAlignment="1">
      <alignment horizontal="center" vertical="center"/>
    </xf>
    <xf numFmtId="165" fontId="23" fillId="0" borderId="36" xfId="1" applyNumberFormat="1" applyFont="1" applyFill="1" applyBorder="1" applyAlignment="1">
      <alignment horizontal="center"/>
    </xf>
    <xf numFmtId="0" fontId="24" fillId="0" borderId="37" xfId="0" applyFont="1" applyFill="1" applyBorder="1"/>
    <xf numFmtId="0" fontId="24" fillId="0" borderId="39" xfId="0" applyFont="1" applyFill="1" applyBorder="1" applyAlignment="1">
      <alignment horizontal="center"/>
    </xf>
    <xf numFmtId="0" fontId="24" fillId="0" borderId="6" xfId="0" applyFont="1" applyFill="1" applyBorder="1" applyAlignment="1">
      <alignment vertical="center"/>
    </xf>
    <xf numFmtId="165" fontId="24" fillId="0" borderId="21" xfId="1" applyNumberFormat="1" applyFont="1" applyFill="1" applyBorder="1" applyAlignment="1">
      <alignment vertical="center"/>
    </xf>
    <xf numFmtId="0" fontId="24" fillId="0" borderId="1" xfId="0" applyFont="1" applyFill="1" applyBorder="1" applyAlignment="1">
      <alignment vertical="center"/>
    </xf>
    <xf numFmtId="0" fontId="24" fillId="0" borderId="2" xfId="0" applyFont="1" applyFill="1" applyBorder="1" applyAlignment="1">
      <alignment vertical="center"/>
    </xf>
    <xf numFmtId="165" fontId="24" fillId="0" borderId="2" xfId="1" applyNumberFormat="1" applyFont="1" applyFill="1" applyBorder="1" applyAlignment="1">
      <alignment horizontal="left" vertical="center"/>
    </xf>
    <xf numFmtId="167" fontId="23" fillId="0" borderId="2" xfId="1" applyNumberFormat="1" applyFont="1" applyFill="1" applyBorder="1" applyAlignment="1">
      <alignment horizontal="center" vertical="center"/>
    </xf>
    <xf numFmtId="165" fontId="24" fillId="0" borderId="3" xfId="1" applyNumberFormat="1" applyFont="1" applyFill="1" applyBorder="1" applyAlignment="1">
      <alignment horizontal="left" vertical="center" wrapText="1"/>
    </xf>
    <xf numFmtId="167" fontId="0" fillId="0" borderId="0" xfId="1" applyNumberFormat="1" applyFont="1"/>
    <xf numFmtId="165" fontId="0" fillId="0" borderId="0" xfId="1" applyNumberFormat="1" applyFont="1"/>
    <xf numFmtId="43" fontId="0" fillId="0" borderId="0" xfId="0" applyNumberFormat="1"/>
    <xf numFmtId="0" fontId="0" fillId="0" borderId="0" xfId="0" applyAlignment="1">
      <alignment wrapText="1"/>
    </xf>
    <xf numFmtId="0" fontId="27" fillId="0" borderId="0" xfId="486" applyFont="1" applyFill="1" applyBorder="1"/>
    <xf numFmtId="0" fontId="23" fillId="0" borderId="0" xfId="0" applyFont="1" applyFill="1" applyBorder="1" applyAlignment="1">
      <alignment horizontal="center" vertical="center"/>
    </xf>
    <xf numFmtId="165" fontId="23" fillId="2" borderId="1" xfId="1" applyNumberFormat="1" applyFont="1" applyFill="1" applyBorder="1" applyAlignment="1">
      <alignment horizontal="center" vertical="center" wrapText="1"/>
    </xf>
    <xf numFmtId="165" fontId="23" fillId="2" borderId="4" xfId="1" applyNumberFormat="1" applyFont="1" applyFill="1" applyBorder="1" applyAlignment="1">
      <alignment horizontal="center" vertical="center" wrapText="1"/>
    </xf>
    <xf numFmtId="165" fontId="23" fillId="2" borderId="2" xfId="1" applyNumberFormat="1" applyFont="1" applyFill="1" applyBorder="1" applyAlignment="1">
      <alignment horizontal="center" vertical="center" wrapText="1"/>
    </xf>
    <xf numFmtId="165" fontId="23" fillId="2" borderId="5" xfId="1" applyNumberFormat="1" applyFont="1" applyFill="1" applyBorder="1" applyAlignment="1">
      <alignment horizontal="center" vertical="center" wrapText="1"/>
    </xf>
    <xf numFmtId="43" fontId="23" fillId="2" borderId="3" xfId="1" applyNumberFormat="1" applyFont="1" applyFill="1" applyBorder="1" applyAlignment="1">
      <alignment horizontal="center" vertical="center" wrapText="1"/>
    </xf>
    <xf numFmtId="43" fontId="23" fillId="2" borderId="22" xfId="1" applyNumberFormat="1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/>
    </xf>
    <xf numFmtId="43" fontId="26" fillId="4" borderId="6" xfId="1" applyFont="1" applyFill="1" applyBorder="1" applyAlignment="1">
      <alignment horizontal="left" vertical="top" wrapText="1"/>
    </xf>
    <xf numFmtId="164" fontId="26" fillId="0" borderId="1" xfId="1" applyNumberFormat="1" applyFont="1" applyFill="1" applyBorder="1" applyAlignment="1">
      <alignment horizontal="left"/>
    </xf>
    <xf numFmtId="164" fontId="26" fillId="0" borderId="2" xfId="1" applyNumberFormat="1" applyFont="1" applyFill="1" applyBorder="1" applyAlignment="1">
      <alignment horizontal="left"/>
    </xf>
    <xf numFmtId="164" fontId="26" fillId="0" borderId="6" xfId="1" applyNumberFormat="1" applyFont="1" applyFill="1" applyBorder="1" applyAlignment="1">
      <alignment horizontal="left"/>
    </xf>
    <xf numFmtId="164" fontId="26" fillId="0" borderId="7" xfId="1" applyNumberFormat="1" applyFont="1" applyFill="1" applyBorder="1" applyAlignment="1">
      <alignment horizontal="left"/>
    </xf>
    <xf numFmtId="164" fontId="26" fillId="0" borderId="6" xfId="1" applyNumberFormat="1" applyFont="1" applyBorder="1" applyAlignment="1">
      <alignment horizontal="left" vertical="top" wrapText="1"/>
    </xf>
    <xf numFmtId="43" fontId="26" fillId="0" borderId="6" xfId="1" applyFont="1" applyBorder="1" applyAlignment="1">
      <alignment horizontal="left" vertical="top" wrapText="1"/>
    </xf>
    <xf numFmtId="38" fontId="23" fillId="0" borderId="6" xfId="1" applyNumberFormat="1" applyFont="1" applyBorder="1" applyAlignment="1">
      <alignment horizontal="left" vertical="top" wrapText="1"/>
    </xf>
    <xf numFmtId="0" fontId="26" fillId="0" borderId="6" xfId="0" applyFont="1" applyBorder="1" applyAlignment="1">
      <alignment horizontal="left" vertical="center" wrapText="1"/>
    </xf>
    <xf numFmtId="0" fontId="26" fillId="0" borderId="7" xfId="0" applyFont="1" applyBorder="1" applyAlignment="1">
      <alignment horizontal="left" vertical="center" wrapText="1"/>
    </xf>
    <xf numFmtId="164" fontId="23" fillId="0" borderId="6" xfId="1" applyNumberFormat="1" applyFont="1" applyBorder="1" applyAlignment="1">
      <alignment horizontal="left" vertical="top" wrapText="1"/>
    </xf>
    <xf numFmtId="164" fontId="26" fillId="0" borderId="4" xfId="1" applyNumberFormat="1" applyFont="1" applyBorder="1" applyAlignment="1">
      <alignment horizontal="left" vertical="top" wrapText="1"/>
    </xf>
    <xf numFmtId="165" fontId="26" fillId="4" borderId="6" xfId="1" applyNumberFormat="1" applyFont="1" applyFill="1" applyBorder="1" applyAlignment="1">
      <alignment horizontal="left" vertical="top" wrapText="1"/>
    </xf>
    <xf numFmtId="38" fontId="26" fillId="5" borderId="6" xfId="0" applyNumberFormat="1" applyFont="1" applyFill="1" applyBorder="1" applyAlignment="1">
      <alignment horizontal="left" vertical="center" wrapText="1"/>
    </xf>
    <xf numFmtId="38" fontId="26" fillId="5" borderId="7" xfId="0" applyNumberFormat="1" applyFont="1" applyFill="1" applyBorder="1" applyAlignment="1">
      <alignment horizontal="left" vertical="center" wrapText="1"/>
    </xf>
    <xf numFmtId="40" fontId="26" fillId="5" borderId="6" xfId="1" applyNumberFormat="1" applyFont="1" applyFill="1" applyBorder="1" applyAlignment="1">
      <alignment horizontal="left" vertical="center" wrapText="1"/>
    </xf>
    <xf numFmtId="40" fontId="26" fillId="5" borderId="7" xfId="1" applyNumberFormat="1" applyFont="1" applyFill="1" applyBorder="1" applyAlignment="1">
      <alignment horizontal="left" vertical="center" wrapText="1"/>
    </xf>
    <xf numFmtId="164" fontId="26" fillId="0" borderId="40" xfId="1" applyNumberFormat="1" applyFont="1" applyFill="1" applyBorder="1" applyAlignment="1">
      <alignment horizontal="left" indent="5"/>
    </xf>
    <xf numFmtId="164" fontId="26" fillId="0" borderId="24" xfId="1" applyNumberFormat="1" applyFont="1" applyFill="1" applyBorder="1" applyAlignment="1">
      <alignment horizontal="left" indent="5"/>
    </xf>
  </cellXfs>
  <cellStyles count="574">
    <cellStyle name="20% - Accent1 10" xfId="2"/>
    <cellStyle name="20% - Accent1 11" xfId="3"/>
    <cellStyle name="20% - Accent1 12" xfId="4"/>
    <cellStyle name="20% - Accent1 13" xfId="5"/>
    <cellStyle name="20% - Accent1 2" xfId="6"/>
    <cellStyle name="20% - Accent1 2 2" xfId="7"/>
    <cellStyle name="20% - Accent1 3" xfId="8"/>
    <cellStyle name="20% - Accent1 4" xfId="9"/>
    <cellStyle name="20% - Accent1 5" xfId="10"/>
    <cellStyle name="20% - Accent1 6" xfId="11"/>
    <cellStyle name="20% - Accent1 7" xfId="12"/>
    <cellStyle name="20% - Accent1 8" xfId="13"/>
    <cellStyle name="20% - Accent1 9" xfId="14"/>
    <cellStyle name="20% - Accent2 10" xfId="15"/>
    <cellStyle name="20% - Accent2 11" xfId="16"/>
    <cellStyle name="20% - Accent2 12" xfId="17"/>
    <cellStyle name="20% - Accent2 13" xfId="18"/>
    <cellStyle name="20% - Accent2 2" xfId="19"/>
    <cellStyle name="20% - Accent2 2 2" xfId="20"/>
    <cellStyle name="20% - Accent2 3" xfId="21"/>
    <cellStyle name="20% - Accent2 4" xfId="22"/>
    <cellStyle name="20% - Accent2 5" xfId="23"/>
    <cellStyle name="20% - Accent2 6" xfId="24"/>
    <cellStyle name="20% - Accent2 7" xfId="25"/>
    <cellStyle name="20% - Accent2 8" xfId="26"/>
    <cellStyle name="20% - Accent2 9" xfId="27"/>
    <cellStyle name="20% - Accent3 10" xfId="28"/>
    <cellStyle name="20% - Accent3 11" xfId="29"/>
    <cellStyle name="20% - Accent3 12" xfId="30"/>
    <cellStyle name="20% - Accent3 13" xfId="31"/>
    <cellStyle name="20% - Accent3 2" xfId="32"/>
    <cellStyle name="20% - Accent3 2 2" xfId="33"/>
    <cellStyle name="20% - Accent3 3" xfId="34"/>
    <cellStyle name="20% - Accent3 4" xfId="35"/>
    <cellStyle name="20% - Accent3 5" xfId="36"/>
    <cellStyle name="20% - Accent3 6" xfId="37"/>
    <cellStyle name="20% - Accent3 7" xfId="38"/>
    <cellStyle name="20% - Accent3 8" xfId="39"/>
    <cellStyle name="20% - Accent3 9" xfId="40"/>
    <cellStyle name="20% - Accent4 10" xfId="41"/>
    <cellStyle name="20% - Accent4 11" xfId="42"/>
    <cellStyle name="20% - Accent4 12" xfId="43"/>
    <cellStyle name="20% - Accent4 13" xfId="44"/>
    <cellStyle name="20% - Accent4 2" xfId="45"/>
    <cellStyle name="20% - Accent4 2 2" xfId="46"/>
    <cellStyle name="20% - Accent4 3" xfId="47"/>
    <cellStyle name="20% - Accent4 4" xfId="48"/>
    <cellStyle name="20% - Accent4 5" xfId="49"/>
    <cellStyle name="20% - Accent4 6" xfId="50"/>
    <cellStyle name="20% - Accent4 7" xfId="51"/>
    <cellStyle name="20% - Accent4 8" xfId="52"/>
    <cellStyle name="20% - Accent4 9" xfId="53"/>
    <cellStyle name="20% - Accent5 10" xfId="54"/>
    <cellStyle name="20% - Accent5 11" xfId="55"/>
    <cellStyle name="20% - Accent5 12" xfId="56"/>
    <cellStyle name="20% - Accent5 13" xfId="57"/>
    <cellStyle name="20% - Accent5 2" xfId="58"/>
    <cellStyle name="20% - Accent5 2 2" xfId="59"/>
    <cellStyle name="20% - Accent5 3" xfId="60"/>
    <cellStyle name="20% - Accent5 4" xfId="61"/>
    <cellStyle name="20% - Accent5 5" xfId="62"/>
    <cellStyle name="20% - Accent5 6" xfId="63"/>
    <cellStyle name="20% - Accent5 7" xfId="64"/>
    <cellStyle name="20% - Accent5 8" xfId="65"/>
    <cellStyle name="20% - Accent5 9" xfId="66"/>
    <cellStyle name="20% - Accent6 10" xfId="67"/>
    <cellStyle name="20% - Accent6 11" xfId="68"/>
    <cellStyle name="20% - Accent6 12" xfId="69"/>
    <cellStyle name="20% - Accent6 13" xfId="70"/>
    <cellStyle name="20% - Accent6 2" xfId="71"/>
    <cellStyle name="20% - Accent6 2 2" xfId="72"/>
    <cellStyle name="20% - Accent6 3" xfId="73"/>
    <cellStyle name="20% - Accent6 4" xfId="74"/>
    <cellStyle name="20% - Accent6 5" xfId="75"/>
    <cellStyle name="20% - Accent6 6" xfId="76"/>
    <cellStyle name="20% - Accent6 7" xfId="77"/>
    <cellStyle name="20% - Accent6 8" xfId="78"/>
    <cellStyle name="20% - Accent6 9" xfId="79"/>
    <cellStyle name="40% - Accent1 10" xfId="80"/>
    <cellStyle name="40% - Accent1 11" xfId="81"/>
    <cellStyle name="40% - Accent1 12" xfId="82"/>
    <cellStyle name="40% - Accent1 13" xfId="83"/>
    <cellStyle name="40% - Accent1 2" xfId="84"/>
    <cellStyle name="40% - Accent1 2 2" xfId="85"/>
    <cellStyle name="40% - Accent1 3" xfId="86"/>
    <cellStyle name="40% - Accent1 4" xfId="87"/>
    <cellStyle name="40% - Accent1 5" xfId="88"/>
    <cellStyle name="40% - Accent1 6" xfId="89"/>
    <cellStyle name="40% - Accent1 7" xfId="90"/>
    <cellStyle name="40% - Accent1 8" xfId="91"/>
    <cellStyle name="40% - Accent1 9" xfId="92"/>
    <cellStyle name="40% - Accent2 10" xfId="93"/>
    <cellStyle name="40% - Accent2 11" xfId="94"/>
    <cellStyle name="40% - Accent2 12" xfId="95"/>
    <cellStyle name="40% - Accent2 13" xfId="96"/>
    <cellStyle name="40% - Accent2 2" xfId="97"/>
    <cellStyle name="40% - Accent2 2 2" xfId="98"/>
    <cellStyle name="40% - Accent2 3" xfId="99"/>
    <cellStyle name="40% - Accent2 4" xfId="100"/>
    <cellStyle name="40% - Accent2 5" xfId="101"/>
    <cellStyle name="40% - Accent2 6" xfId="102"/>
    <cellStyle name="40% - Accent2 7" xfId="103"/>
    <cellStyle name="40% - Accent2 8" xfId="104"/>
    <cellStyle name="40% - Accent2 9" xfId="105"/>
    <cellStyle name="40% - Accent3 10" xfId="106"/>
    <cellStyle name="40% - Accent3 11" xfId="107"/>
    <cellStyle name="40% - Accent3 12" xfId="108"/>
    <cellStyle name="40% - Accent3 13" xfId="109"/>
    <cellStyle name="40% - Accent3 2" xfId="110"/>
    <cellStyle name="40% - Accent3 2 2" xfId="111"/>
    <cellStyle name="40% - Accent3 3" xfId="112"/>
    <cellStyle name="40% - Accent3 4" xfId="113"/>
    <cellStyle name="40% - Accent3 5" xfId="114"/>
    <cellStyle name="40% - Accent3 6" xfId="115"/>
    <cellStyle name="40% - Accent3 7" xfId="116"/>
    <cellStyle name="40% - Accent3 8" xfId="117"/>
    <cellStyle name="40% - Accent3 9" xfId="118"/>
    <cellStyle name="40% - Accent4 10" xfId="119"/>
    <cellStyle name="40% - Accent4 11" xfId="120"/>
    <cellStyle name="40% - Accent4 12" xfId="121"/>
    <cellStyle name="40% - Accent4 13" xfId="122"/>
    <cellStyle name="40% - Accent4 2" xfId="123"/>
    <cellStyle name="40% - Accent4 2 2" xfId="124"/>
    <cellStyle name="40% - Accent4 3" xfId="125"/>
    <cellStyle name="40% - Accent4 4" xfId="126"/>
    <cellStyle name="40% - Accent4 5" xfId="127"/>
    <cellStyle name="40% - Accent4 6" xfId="128"/>
    <cellStyle name="40% - Accent4 7" xfId="129"/>
    <cellStyle name="40% - Accent4 8" xfId="130"/>
    <cellStyle name="40% - Accent4 9" xfId="131"/>
    <cellStyle name="40% - Accent5 10" xfId="132"/>
    <cellStyle name="40% - Accent5 11" xfId="133"/>
    <cellStyle name="40% - Accent5 12" xfId="134"/>
    <cellStyle name="40% - Accent5 13" xfId="135"/>
    <cellStyle name="40% - Accent5 2" xfId="136"/>
    <cellStyle name="40% - Accent5 2 2" xfId="137"/>
    <cellStyle name="40% - Accent5 3" xfId="138"/>
    <cellStyle name="40% - Accent5 4" xfId="139"/>
    <cellStyle name="40% - Accent5 5" xfId="140"/>
    <cellStyle name="40% - Accent5 6" xfId="141"/>
    <cellStyle name="40% - Accent5 7" xfId="142"/>
    <cellStyle name="40% - Accent5 8" xfId="143"/>
    <cellStyle name="40% - Accent5 9" xfId="144"/>
    <cellStyle name="40% - Accent6 10" xfId="145"/>
    <cellStyle name="40% - Accent6 11" xfId="146"/>
    <cellStyle name="40% - Accent6 12" xfId="147"/>
    <cellStyle name="40% - Accent6 13" xfId="148"/>
    <cellStyle name="40% - Accent6 2" xfId="149"/>
    <cellStyle name="40% - Accent6 2 2" xfId="150"/>
    <cellStyle name="40% - Accent6 3" xfId="151"/>
    <cellStyle name="40% - Accent6 4" xfId="152"/>
    <cellStyle name="40% - Accent6 5" xfId="153"/>
    <cellStyle name="40% - Accent6 6" xfId="154"/>
    <cellStyle name="40% - Accent6 7" xfId="155"/>
    <cellStyle name="40% - Accent6 8" xfId="156"/>
    <cellStyle name="40% - Accent6 9" xfId="157"/>
    <cellStyle name="60% - Accent1 10" xfId="158"/>
    <cellStyle name="60% - Accent1 11" xfId="159"/>
    <cellStyle name="60% - Accent1 12" xfId="160"/>
    <cellStyle name="60% - Accent1 13" xfId="161"/>
    <cellStyle name="60% - Accent1 2" xfId="162"/>
    <cellStyle name="60% - Accent1 2 2" xfId="163"/>
    <cellStyle name="60% - Accent1 3" xfId="164"/>
    <cellStyle name="60% - Accent1 4" xfId="165"/>
    <cellStyle name="60% - Accent1 5" xfId="166"/>
    <cellStyle name="60% - Accent1 6" xfId="167"/>
    <cellStyle name="60% - Accent1 7" xfId="168"/>
    <cellStyle name="60% - Accent1 8" xfId="169"/>
    <cellStyle name="60% - Accent1 9" xfId="170"/>
    <cellStyle name="60% - Accent2 10" xfId="171"/>
    <cellStyle name="60% - Accent2 11" xfId="172"/>
    <cellStyle name="60% - Accent2 12" xfId="173"/>
    <cellStyle name="60% - Accent2 13" xfId="174"/>
    <cellStyle name="60% - Accent2 2" xfId="175"/>
    <cellStyle name="60% - Accent2 2 2" xfId="176"/>
    <cellStyle name="60% - Accent2 3" xfId="177"/>
    <cellStyle name="60% - Accent2 4" xfId="178"/>
    <cellStyle name="60% - Accent2 5" xfId="179"/>
    <cellStyle name="60% - Accent2 6" xfId="180"/>
    <cellStyle name="60% - Accent2 7" xfId="181"/>
    <cellStyle name="60% - Accent2 8" xfId="182"/>
    <cellStyle name="60% - Accent2 9" xfId="183"/>
    <cellStyle name="60% - Accent3 10" xfId="184"/>
    <cellStyle name="60% - Accent3 11" xfId="185"/>
    <cellStyle name="60% - Accent3 12" xfId="186"/>
    <cellStyle name="60% - Accent3 13" xfId="187"/>
    <cellStyle name="60% - Accent3 2" xfId="188"/>
    <cellStyle name="60% - Accent3 2 2" xfId="189"/>
    <cellStyle name="60% - Accent3 3" xfId="190"/>
    <cellStyle name="60% - Accent3 4" xfId="191"/>
    <cellStyle name="60% - Accent3 5" xfId="192"/>
    <cellStyle name="60% - Accent3 6" xfId="193"/>
    <cellStyle name="60% - Accent3 7" xfId="194"/>
    <cellStyle name="60% - Accent3 8" xfId="195"/>
    <cellStyle name="60% - Accent3 9" xfId="196"/>
    <cellStyle name="60% - Accent4 10" xfId="197"/>
    <cellStyle name="60% - Accent4 11" xfId="198"/>
    <cellStyle name="60% - Accent4 12" xfId="199"/>
    <cellStyle name="60% - Accent4 13" xfId="200"/>
    <cellStyle name="60% - Accent4 2" xfId="201"/>
    <cellStyle name="60% - Accent4 2 2" xfId="202"/>
    <cellStyle name="60% - Accent4 3" xfId="203"/>
    <cellStyle name="60% - Accent4 4" xfId="204"/>
    <cellStyle name="60% - Accent4 5" xfId="205"/>
    <cellStyle name="60% - Accent4 6" xfId="206"/>
    <cellStyle name="60% - Accent4 7" xfId="207"/>
    <cellStyle name="60% - Accent4 8" xfId="208"/>
    <cellStyle name="60% - Accent4 9" xfId="209"/>
    <cellStyle name="60% - Accent5 10" xfId="210"/>
    <cellStyle name="60% - Accent5 11" xfId="211"/>
    <cellStyle name="60% - Accent5 12" xfId="212"/>
    <cellStyle name="60% - Accent5 13" xfId="213"/>
    <cellStyle name="60% - Accent5 2" xfId="214"/>
    <cellStyle name="60% - Accent5 2 2" xfId="215"/>
    <cellStyle name="60% - Accent5 3" xfId="216"/>
    <cellStyle name="60% - Accent5 4" xfId="217"/>
    <cellStyle name="60% - Accent5 5" xfId="218"/>
    <cellStyle name="60% - Accent5 6" xfId="219"/>
    <cellStyle name="60% - Accent5 7" xfId="220"/>
    <cellStyle name="60% - Accent5 8" xfId="221"/>
    <cellStyle name="60% - Accent5 9" xfId="222"/>
    <cellStyle name="60% - Accent6 10" xfId="223"/>
    <cellStyle name="60% - Accent6 11" xfId="224"/>
    <cellStyle name="60% - Accent6 12" xfId="225"/>
    <cellStyle name="60% - Accent6 13" xfId="226"/>
    <cellStyle name="60% - Accent6 2" xfId="227"/>
    <cellStyle name="60% - Accent6 2 2" xfId="228"/>
    <cellStyle name="60% - Accent6 3" xfId="229"/>
    <cellStyle name="60% - Accent6 4" xfId="230"/>
    <cellStyle name="60% - Accent6 5" xfId="231"/>
    <cellStyle name="60% - Accent6 6" xfId="232"/>
    <cellStyle name="60% - Accent6 7" xfId="233"/>
    <cellStyle name="60% - Accent6 8" xfId="234"/>
    <cellStyle name="60% - Accent6 9" xfId="235"/>
    <cellStyle name="Accent1 10" xfId="236"/>
    <cellStyle name="Accent1 11" xfId="237"/>
    <cellStyle name="Accent1 12" xfId="238"/>
    <cellStyle name="Accent1 13" xfId="239"/>
    <cellStyle name="Accent1 2" xfId="240"/>
    <cellStyle name="Accent1 2 2" xfId="241"/>
    <cellStyle name="Accent1 3" xfId="242"/>
    <cellStyle name="Accent1 4" xfId="243"/>
    <cellStyle name="Accent1 5" xfId="244"/>
    <cellStyle name="Accent1 6" xfId="245"/>
    <cellStyle name="Accent1 7" xfId="246"/>
    <cellStyle name="Accent1 8" xfId="247"/>
    <cellStyle name="Accent1 9" xfId="248"/>
    <cellStyle name="Accent2 10" xfId="249"/>
    <cellStyle name="Accent2 11" xfId="250"/>
    <cellStyle name="Accent2 12" xfId="251"/>
    <cellStyle name="Accent2 13" xfId="252"/>
    <cellStyle name="Accent2 2" xfId="253"/>
    <cellStyle name="Accent2 2 2" xfId="254"/>
    <cellStyle name="Accent2 3" xfId="255"/>
    <cellStyle name="Accent2 4" xfId="256"/>
    <cellStyle name="Accent2 5" xfId="257"/>
    <cellStyle name="Accent2 6" xfId="258"/>
    <cellStyle name="Accent2 7" xfId="259"/>
    <cellStyle name="Accent2 8" xfId="260"/>
    <cellStyle name="Accent2 9" xfId="261"/>
    <cellStyle name="Accent3 10" xfId="262"/>
    <cellStyle name="Accent3 11" xfId="263"/>
    <cellStyle name="Accent3 12" xfId="264"/>
    <cellStyle name="Accent3 13" xfId="265"/>
    <cellStyle name="Accent3 2" xfId="266"/>
    <cellStyle name="Accent3 2 2" xfId="267"/>
    <cellStyle name="Accent3 3" xfId="268"/>
    <cellStyle name="Accent3 4" xfId="269"/>
    <cellStyle name="Accent3 5" xfId="270"/>
    <cellStyle name="Accent3 6" xfId="271"/>
    <cellStyle name="Accent3 7" xfId="272"/>
    <cellStyle name="Accent3 8" xfId="273"/>
    <cellStyle name="Accent3 9" xfId="274"/>
    <cellStyle name="Accent4 10" xfId="275"/>
    <cellStyle name="Accent4 11" xfId="276"/>
    <cellStyle name="Accent4 12" xfId="277"/>
    <cellStyle name="Accent4 13" xfId="278"/>
    <cellStyle name="Accent4 2" xfId="279"/>
    <cellStyle name="Accent4 2 2" xfId="280"/>
    <cellStyle name="Accent4 3" xfId="281"/>
    <cellStyle name="Accent4 4" xfId="282"/>
    <cellStyle name="Accent4 5" xfId="283"/>
    <cellStyle name="Accent4 6" xfId="284"/>
    <cellStyle name="Accent4 7" xfId="285"/>
    <cellStyle name="Accent4 8" xfId="286"/>
    <cellStyle name="Accent4 9" xfId="287"/>
    <cellStyle name="Accent5 10" xfId="288"/>
    <cellStyle name="Accent5 11" xfId="289"/>
    <cellStyle name="Accent5 12" xfId="290"/>
    <cellStyle name="Accent5 13" xfId="291"/>
    <cellStyle name="Accent5 2" xfId="292"/>
    <cellStyle name="Accent5 2 2" xfId="293"/>
    <cellStyle name="Accent5 3" xfId="294"/>
    <cellStyle name="Accent5 4" xfId="295"/>
    <cellStyle name="Accent5 5" xfId="296"/>
    <cellStyle name="Accent5 6" xfId="297"/>
    <cellStyle name="Accent5 7" xfId="298"/>
    <cellStyle name="Accent5 8" xfId="299"/>
    <cellStyle name="Accent5 9" xfId="300"/>
    <cellStyle name="Accent6 10" xfId="301"/>
    <cellStyle name="Accent6 11" xfId="302"/>
    <cellStyle name="Accent6 12" xfId="303"/>
    <cellStyle name="Accent6 13" xfId="304"/>
    <cellStyle name="Accent6 2" xfId="305"/>
    <cellStyle name="Accent6 2 2" xfId="306"/>
    <cellStyle name="Accent6 3" xfId="307"/>
    <cellStyle name="Accent6 4" xfId="308"/>
    <cellStyle name="Accent6 5" xfId="309"/>
    <cellStyle name="Accent6 6" xfId="310"/>
    <cellStyle name="Accent6 7" xfId="311"/>
    <cellStyle name="Accent6 8" xfId="312"/>
    <cellStyle name="Accent6 9" xfId="313"/>
    <cellStyle name="Bad 10" xfId="314"/>
    <cellStyle name="Bad 11" xfId="315"/>
    <cellStyle name="Bad 12" xfId="316"/>
    <cellStyle name="Bad 13" xfId="317"/>
    <cellStyle name="Bad 2" xfId="318"/>
    <cellStyle name="Bad 2 2" xfId="319"/>
    <cellStyle name="Bad 3" xfId="320"/>
    <cellStyle name="Bad 4" xfId="321"/>
    <cellStyle name="Bad 5" xfId="322"/>
    <cellStyle name="Bad 6" xfId="323"/>
    <cellStyle name="Bad 7" xfId="324"/>
    <cellStyle name="Bad 8" xfId="325"/>
    <cellStyle name="Bad 9" xfId="326"/>
    <cellStyle name="Calculation 10" xfId="327"/>
    <cellStyle name="Calculation 11" xfId="328"/>
    <cellStyle name="Calculation 12" xfId="329"/>
    <cellStyle name="Calculation 13" xfId="330"/>
    <cellStyle name="Calculation 2" xfId="331"/>
    <cellStyle name="Calculation 2 2" xfId="332"/>
    <cellStyle name="Calculation 3" xfId="333"/>
    <cellStyle name="Calculation 4" xfId="334"/>
    <cellStyle name="Calculation 5" xfId="335"/>
    <cellStyle name="Calculation 6" xfId="336"/>
    <cellStyle name="Calculation 7" xfId="337"/>
    <cellStyle name="Calculation 8" xfId="338"/>
    <cellStyle name="Calculation 9" xfId="339"/>
    <cellStyle name="Check Cell 10" xfId="340"/>
    <cellStyle name="Check Cell 11" xfId="341"/>
    <cellStyle name="Check Cell 12" xfId="342"/>
    <cellStyle name="Check Cell 13" xfId="343"/>
    <cellStyle name="Check Cell 2" xfId="344"/>
    <cellStyle name="Check Cell 2 2" xfId="345"/>
    <cellStyle name="Check Cell 3" xfId="346"/>
    <cellStyle name="Check Cell 4" xfId="347"/>
    <cellStyle name="Check Cell 5" xfId="348"/>
    <cellStyle name="Check Cell 6" xfId="349"/>
    <cellStyle name="Check Cell 7" xfId="350"/>
    <cellStyle name="Check Cell 8" xfId="351"/>
    <cellStyle name="Check Cell 9" xfId="352"/>
    <cellStyle name="Comma" xfId="1" builtinId="3"/>
    <cellStyle name="Comma 10" xfId="353"/>
    <cellStyle name="Comma 10 2" xfId="354"/>
    <cellStyle name="Comma 11" xfId="355"/>
    <cellStyle name="Comma 12" xfId="356"/>
    <cellStyle name="Comma 13" xfId="357"/>
    <cellStyle name="Comma 2" xfId="358"/>
    <cellStyle name="Comma 2 2" xfId="359"/>
    <cellStyle name="Comma 2 2 2" xfId="556"/>
    <cellStyle name="Comma 2 2 2 2" xfId="557"/>
    <cellStyle name="Comma 2 2 2 3" xfId="558"/>
    <cellStyle name="Comma 2 2 2 4" xfId="559"/>
    <cellStyle name="Comma 2 2 3" xfId="560"/>
    <cellStyle name="Comma 2 2 4" xfId="561"/>
    <cellStyle name="Comma 2 3" xfId="562"/>
    <cellStyle name="Comma 2 4" xfId="563"/>
    <cellStyle name="Comma 2 5" xfId="564"/>
    <cellStyle name="Comma 3" xfId="360"/>
    <cellStyle name="Comma 4" xfId="361"/>
    <cellStyle name="Comma 5" xfId="362"/>
    <cellStyle name="Comma 6" xfId="363"/>
    <cellStyle name="Comma 7" xfId="364"/>
    <cellStyle name="Comma 7 2" xfId="365"/>
    <cellStyle name="Comma 8" xfId="366"/>
    <cellStyle name="Comma 9" xfId="367"/>
    <cellStyle name="Explanatory Text 10" xfId="368"/>
    <cellStyle name="Explanatory Text 11" xfId="369"/>
    <cellStyle name="Explanatory Text 12" xfId="370"/>
    <cellStyle name="Explanatory Text 13" xfId="371"/>
    <cellStyle name="Explanatory Text 2" xfId="372"/>
    <cellStyle name="Explanatory Text 2 2" xfId="373"/>
    <cellStyle name="Explanatory Text 3" xfId="374"/>
    <cellStyle name="Explanatory Text 4" xfId="375"/>
    <cellStyle name="Explanatory Text 5" xfId="376"/>
    <cellStyle name="Explanatory Text 6" xfId="377"/>
    <cellStyle name="Explanatory Text 7" xfId="378"/>
    <cellStyle name="Explanatory Text 8" xfId="379"/>
    <cellStyle name="Explanatory Text 9" xfId="380"/>
    <cellStyle name="Good 10" xfId="381"/>
    <cellStyle name="Good 11" xfId="382"/>
    <cellStyle name="Good 12" xfId="383"/>
    <cellStyle name="Good 13" xfId="384"/>
    <cellStyle name="Good 2" xfId="385"/>
    <cellStyle name="Good 2 2" xfId="386"/>
    <cellStyle name="Good 3" xfId="387"/>
    <cellStyle name="Good 4" xfId="388"/>
    <cellStyle name="Good 5" xfId="389"/>
    <cellStyle name="Good 6" xfId="390"/>
    <cellStyle name="Good 7" xfId="391"/>
    <cellStyle name="Good 8" xfId="392"/>
    <cellStyle name="Good 9" xfId="393"/>
    <cellStyle name="Heading 1 10" xfId="394"/>
    <cellStyle name="Heading 1 11" xfId="395"/>
    <cellStyle name="Heading 1 12" xfId="396"/>
    <cellStyle name="Heading 1 13" xfId="397"/>
    <cellStyle name="Heading 1 2" xfId="398"/>
    <cellStyle name="Heading 1 2 2" xfId="399"/>
    <cellStyle name="Heading 1 3" xfId="400"/>
    <cellStyle name="Heading 1 4" xfId="401"/>
    <cellStyle name="Heading 1 5" xfId="402"/>
    <cellStyle name="Heading 1 6" xfId="403"/>
    <cellStyle name="Heading 1 7" xfId="404"/>
    <cellStyle name="Heading 1 8" xfId="405"/>
    <cellStyle name="Heading 1 9" xfId="406"/>
    <cellStyle name="Heading 2 10" xfId="407"/>
    <cellStyle name="Heading 2 11" xfId="408"/>
    <cellStyle name="Heading 2 12" xfId="409"/>
    <cellStyle name="Heading 2 13" xfId="410"/>
    <cellStyle name="Heading 2 2" xfId="411"/>
    <cellStyle name="Heading 2 2 2" xfId="412"/>
    <cellStyle name="Heading 2 3" xfId="413"/>
    <cellStyle name="Heading 2 4" xfId="414"/>
    <cellStyle name="Heading 2 5" xfId="415"/>
    <cellStyle name="Heading 2 6" xfId="416"/>
    <cellStyle name="Heading 2 7" xfId="417"/>
    <cellStyle name="Heading 2 8" xfId="418"/>
    <cellStyle name="Heading 2 9" xfId="419"/>
    <cellStyle name="Heading 3 10" xfId="420"/>
    <cellStyle name="Heading 3 11" xfId="421"/>
    <cellStyle name="Heading 3 12" xfId="422"/>
    <cellStyle name="Heading 3 13" xfId="423"/>
    <cellStyle name="Heading 3 2" xfId="424"/>
    <cellStyle name="Heading 3 2 2" xfId="425"/>
    <cellStyle name="Heading 3 3" xfId="426"/>
    <cellStyle name="Heading 3 4" xfId="427"/>
    <cellStyle name="Heading 3 5" xfId="428"/>
    <cellStyle name="Heading 3 6" xfId="429"/>
    <cellStyle name="Heading 3 7" xfId="430"/>
    <cellStyle name="Heading 3 8" xfId="431"/>
    <cellStyle name="Heading 3 9" xfId="432"/>
    <cellStyle name="Heading 4 10" xfId="433"/>
    <cellStyle name="Heading 4 11" xfId="434"/>
    <cellStyle name="Heading 4 12" xfId="435"/>
    <cellStyle name="Heading 4 13" xfId="436"/>
    <cellStyle name="Heading 4 2" xfId="437"/>
    <cellStyle name="Heading 4 2 2" xfId="438"/>
    <cellStyle name="Heading 4 3" xfId="439"/>
    <cellStyle name="Heading 4 4" xfId="440"/>
    <cellStyle name="Heading 4 5" xfId="441"/>
    <cellStyle name="Heading 4 6" xfId="442"/>
    <cellStyle name="Heading 4 7" xfId="443"/>
    <cellStyle name="Heading 4 8" xfId="444"/>
    <cellStyle name="Heading 4 9" xfId="445"/>
    <cellStyle name="Input 10" xfId="446"/>
    <cellStyle name="Input 11" xfId="447"/>
    <cellStyle name="Input 12" xfId="448"/>
    <cellStyle name="Input 13" xfId="449"/>
    <cellStyle name="Input 2" xfId="450"/>
    <cellStyle name="Input 2 2" xfId="451"/>
    <cellStyle name="Input 3" xfId="452"/>
    <cellStyle name="Input 4" xfId="453"/>
    <cellStyle name="Input 5" xfId="454"/>
    <cellStyle name="Input 6" xfId="455"/>
    <cellStyle name="Input 7" xfId="456"/>
    <cellStyle name="Input 8" xfId="457"/>
    <cellStyle name="Input 9" xfId="458"/>
    <cellStyle name="Linked Cell 10" xfId="459"/>
    <cellStyle name="Linked Cell 11" xfId="460"/>
    <cellStyle name="Linked Cell 12" xfId="461"/>
    <cellStyle name="Linked Cell 13" xfId="462"/>
    <cellStyle name="Linked Cell 2" xfId="463"/>
    <cellStyle name="Linked Cell 2 2" xfId="464"/>
    <cellStyle name="Linked Cell 3" xfId="465"/>
    <cellStyle name="Linked Cell 4" xfId="466"/>
    <cellStyle name="Linked Cell 5" xfId="467"/>
    <cellStyle name="Linked Cell 6" xfId="468"/>
    <cellStyle name="Linked Cell 7" xfId="469"/>
    <cellStyle name="Linked Cell 8" xfId="470"/>
    <cellStyle name="Linked Cell 9" xfId="471"/>
    <cellStyle name="Neutral 10" xfId="472"/>
    <cellStyle name="Neutral 11" xfId="473"/>
    <cellStyle name="Neutral 12" xfId="474"/>
    <cellStyle name="Neutral 13" xfId="475"/>
    <cellStyle name="Neutral 2" xfId="476"/>
    <cellStyle name="Neutral 2 2" xfId="477"/>
    <cellStyle name="Neutral 3" xfId="478"/>
    <cellStyle name="Neutral 4" xfId="479"/>
    <cellStyle name="Neutral 5" xfId="480"/>
    <cellStyle name="Neutral 6" xfId="481"/>
    <cellStyle name="Neutral 7" xfId="482"/>
    <cellStyle name="Neutral 8" xfId="483"/>
    <cellStyle name="Neutral 9" xfId="484"/>
    <cellStyle name="Normal" xfId="0" builtinId="0"/>
    <cellStyle name="Normal 2" xfId="485"/>
    <cellStyle name="Normal 2 2" xfId="486"/>
    <cellStyle name="Normal 2 2 2" xfId="565"/>
    <cellStyle name="Normal 2 2 2 2" xfId="566"/>
    <cellStyle name="Normal 2 2 2 3" xfId="567"/>
    <cellStyle name="Normal 2 2 2 4" xfId="568"/>
    <cellStyle name="Normal 2 2 3" xfId="569"/>
    <cellStyle name="Normal 2 2 4" xfId="570"/>
    <cellStyle name="Normal 3" xfId="487"/>
    <cellStyle name="Normal 3 2" xfId="571"/>
    <cellStyle name="Normal 3 3" xfId="572"/>
    <cellStyle name="Normal 3 4" xfId="573"/>
    <cellStyle name="Normal 4" xfId="488"/>
    <cellStyle name="Normal 4 2" xfId="489"/>
    <cellStyle name="Normal 8" xfId="490"/>
    <cellStyle name="Note 10" xfId="491"/>
    <cellStyle name="Note 11" xfId="492"/>
    <cellStyle name="Note 12" xfId="493"/>
    <cellStyle name="Note 13" xfId="494"/>
    <cellStyle name="Note 2" xfId="495"/>
    <cellStyle name="Note 2 2" xfId="496"/>
    <cellStyle name="Note 3" xfId="497"/>
    <cellStyle name="Note 4" xfId="498"/>
    <cellStyle name="Note 5" xfId="499"/>
    <cellStyle name="Note 6" xfId="500"/>
    <cellStyle name="Note 7" xfId="501"/>
    <cellStyle name="Note 8" xfId="502"/>
    <cellStyle name="Note 9" xfId="503"/>
    <cellStyle name="Output 10" xfId="504"/>
    <cellStyle name="Output 11" xfId="505"/>
    <cellStyle name="Output 12" xfId="506"/>
    <cellStyle name="Output 13" xfId="507"/>
    <cellStyle name="Output 2" xfId="508"/>
    <cellStyle name="Output 2 2" xfId="509"/>
    <cellStyle name="Output 3" xfId="510"/>
    <cellStyle name="Output 4" xfId="511"/>
    <cellStyle name="Output 5" xfId="512"/>
    <cellStyle name="Output 6" xfId="513"/>
    <cellStyle name="Output 7" xfId="514"/>
    <cellStyle name="Output 8" xfId="515"/>
    <cellStyle name="Output 9" xfId="516"/>
    <cellStyle name="Title 10" xfId="517"/>
    <cellStyle name="Title 11" xfId="518"/>
    <cellStyle name="Title 12" xfId="519"/>
    <cellStyle name="Title 13" xfId="520"/>
    <cellStyle name="Title 2" xfId="521"/>
    <cellStyle name="Title 2 2" xfId="522"/>
    <cellStyle name="Title 3" xfId="523"/>
    <cellStyle name="Title 4" xfId="524"/>
    <cellStyle name="Title 5" xfId="525"/>
    <cellStyle name="Title 6" xfId="526"/>
    <cellStyle name="Title 7" xfId="527"/>
    <cellStyle name="Title 8" xfId="528"/>
    <cellStyle name="Title 9" xfId="529"/>
    <cellStyle name="Total 10" xfId="530"/>
    <cellStyle name="Total 11" xfId="531"/>
    <cellStyle name="Total 12" xfId="532"/>
    <cellStyle name="Total 13" xfId="533"/>
    <cellStyle name="Total 2" xfId="534"/>
    <cellStyle name="Total 2 2" xfId="535"/>
    <cellStyle name="Total 3" xfId="536"/>
    <cellStyle name="Total 4" xfId="537"/>
    <cellStyle name="Total 5" xfId="538"/>
    <cellStyle name="Total 6" xfId="539"/>
    <cellStyle name="Total 7" xfId="540"/>
    <cellStyle name="Total 8" xfId="541"/>
    <cellStyle name="Total 9" xfId="542"/>
    <cellStyle name="Warning Text 10" xfId="543"/>
    <cellStyle name="Warning Text 11" xfId="544"/>
    <cellStyle name="Warning Text 12" xfId="545"/>
    <cellStyle name="Warning Text 13" xfId="546"/>
    <cellStyle name="Warning Text 2" xfId="547"/>
    <cellStyle name="Warning Text 2 2" xfId="548"/>
    <cellStyle name="Warning Text 3" xfId="549"/>
    <cellStyle name="Warning Text 4" xfId="550"/>
    <cellStyle name="Warning Text 5" xfId="551"/>
    <cellStyle name="Warning Text 6" xfId="552"/>
    <cellStyle name="Warning Text 7" xfId="553"/>
    <cellStyle name="Warning Text 8" xfId="554"/>
    <cellStyle name="Warning Text 9" xfId="55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Province wise</a:t>
            </a:r>
            <a:r>
              <a:rPr lang="en-US" baseline="0"/>
              <a:t> number of d</a:t>
            </a:r>
            <a:r>
              <a:rPr lang="en-US"/>
              <a:t>istricts</a:t>
            </a:r>
            <a:r>
              <a:rPr lang="en-US" baseline="0"/>
              <a:t> with RSP presence (As of March 2011)</a:t>
            </a:r>
            <a:endParaRPr lang="en-US"/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'Figs for ppt'!$B$2</c:f>
              <c:strCache>
                <c:ptCount val="1"/>
                <c:pt idx="0">
                  <c:v>Number of Total Districts 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'Figs for ppt'!$A$3:$A$9</c:f>
              <c:strCache>
                <c:ptCount val="7"/>
                <c:pt idx="0">
                  <c:v>Balochistan </c:v>
                </c:pt>
                <c:pt idx="1">
                  <c:v>Khyber Pakhtunkhwa</c:v>
                </c:pt>
                <c:pt idx="2">
                  <c:v>Sindh </c:v>
                </c:pt>
                <c:pt idx="3">
                  <c:v>Punjab </c:v>
                </c:pt>
                <c:pt idx="4">
                  <c:v>Azad Jamu and Kashmir</c:v>
                </c:pt>
                <c:pt idx="5">
                  <c:v>Gilgit-Baltistan </c:v>
                </c:pt>
                <c:pt idx="6">
                  <c:v>Federal Adminstrated Tribal Areas/Frontier Regions</c:v>
                </c:pt>
              </c:strCache>
            </c:strRef>
          </c:cat>
          <c:val>
            <c:numRef>
              <c:f>'Figs for ppt'!$B$3:$B$9</c:f>
              <c:numCache>
                <c:formatCode>General</c:formatCode>
                <c:ptCount val="7"/>
                <c:pt idx="0">
                  <c:v>30</c:v>
                </c:pt>
                <c:pt idx="1">
                  <c:v>24</c:v>
                </c:pt>
                <c:pt idx="2">
                  <c:v>23</c:v>
                </c:pt>
                <c:pt idx="3">
                  <c:v>37</c:v>
                </c:pt>
                <c:pt idx="4">
                  <c:v>10</c:v>
                </c:pt>
                <c:pt idx="5">
                  <c:v>7</c:v>
                </c:pt>
                <c:pt idx="6">
                  <c:v>13</c:v>
                </c:pt>
              </c:numCache>
            </c:numRef>
          </c:val>
        </c:ser>
        <c:ser>
          <c:idx val="1"/>
          <c:order val="1"/>
          <c:tx>
            <c:strRef>
              <c:f>'Figs for ppt'!$C$2</c:f>
              <c:strCache>
                <c:ptCount val="1"/>
                <c:pt idx="0">
                  <c:v>Number of Districts with RSP Presence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'Figs for ppt'!$A$3:$A$9</c:f>
              <c:strCache>
                <c:ptCount val="7"/>
                <c:pt idx="0">
                  <c:v>Balochistan </c:v>
                </c:pt>
                <c:pt idx="1">
                  <c:v>Khyber Pakhtunkhwa</c:v>
                </c:pt>
                <c:pt idx="2">
                  <c:v>Sindh </c:v>
                </c:pt>
                <c:pt idx="3">
                  <c:v>Punjab </c:v>
                </c:pt>
                <c:pt idx="4">
                  <c:v>Azad Jamu and Kashmir</c:v>
                </c:pt>
                <c:pt idx="5">
                  <c:v>Gilgit-Baltistan </c:v>
                </c:pt>
                <c:pt idx="6">
                  <c:v>Federal Adminstrated Tribal Areas/Frontier Regions</c:v>
                </c:pt>
              </c:strCache>
            </c:strRef>
          </c:cat>
          <c:val>
            <c:numRef>
              <c:f>'Figs for ppt'!$C$3:$C$9</c:f>
              <c:numCache>
                <c:formatCode>General</c:formatCode>
                <c:ptCount val="7"/>
                <c:pt idx="0">
                  <c:v>16</c:v>
                </c:pt>
                <c:pt idx="1">
                  <c:v>19</c:v>
                </c:pt>
                <c:pt idx="2">
                  <c:v>22</c:v>
                </c:pt>
                <c:pt idx="3">
                  <c:v>35</c:v>
                </c:pt>
                <c:pt idx="4">
                  <c:v>10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545600"/>
        <c:axId val="115547136"/>
        <c:axId val="0"/>
      </c:bar3DChart>
      <c:catAx>
        <c:axId val="115545600"/>
        <c:scaling>
          <c:orientation val="minMax"/>
        </c:scaling>
        <c:delete val="0"/>
        <c:axPos val="b"/>
        <c:majorTickMark val="out"/>
        <c:minorTickMark val="none"/>
        <c:tickLblPos val="low"/>
        <c:spPr>
          <a:noFill/>
          <a:ln w="9525" cap="flat" cmpd="sng" algn="ctr">
            <a:solidFill>
              <a:schemeClr val="accent5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0" vert="horz" anchor="t" anchorCtr="1"/>
          <a:lstStyle/>
          <a:p>
            <a:pPr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7136"/>
        <c:crosses val="autoZero"/>
        <c:auto val="1"/>
        <c:lblAlgn val="ctr"/>
        <c:lblOffset val="100"/>
        <c:tickLblSkip val="1"/>
        <c:noMultiLvlLbl val="0"/>
      </c:catAx>
      <c:valAx>
        <c:axId val="11554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54560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 b="0">
          <a:latin typeface="Garamond" pitchFamily="18" charset="0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680" b="0">
                <a:latin typeface="Garamond" pitchFamily="18" charset="0"/>
              </a:defRPr>
            </a:pPr>
            <a:r>
              <a:rPr lang="en-US" sz="1680" b="0">
                <a:latin typeface="Garamond" pitchFamily="18" charset="0"/>
              </a:rPr>
              <a:t>Province wise Rural Union Councils with RSPs Presence   </a:t>
            </a:r>
          </a:p>
          <a:p>
            <a:pPr>
              <a:defRPr sz="1680" b="0">
                <a:latin typeface="Garamond" pitchFamily="18" charset="0"/>
              </a:defRPr>
            </a:pPr>
            <a:r>
              <a:rPr lang="en-US" sz="1680" b="0">
                <a:latin typeface="Garamond" pitchFamily="18" charset="0"/>
              </a:rPr>
              <a:t>(As of March 2011)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7628771795822273E-2"/>
          <c:y val="0.12817012159194385"/>
          <c:w val="0.93237122820417828"/>
          <c:h val="0.6481072942805230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'Figs for ppt'!$B$13</c:f>
              <c:strCache>
                <c:ptCount val="1"/>
                <c:pt idx="0">
                  <c:v>Number of Total Rural UCs 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100" b="0">
                    <a:latin typeface="Garamond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'Figs for ppt'!$A$14:$A$20</c:f>
              <c:strCache>
                <c:ptCount val="7"/>
                <c:pt idx="0">
                  <c:v>Balochistan </c:v>
                </c:pt>
                <c:pt idx="1">
                  <c:v>Khyber Pakhtunkhwa</c:v>
                </c:pt>
                <c:pt idx="2">
                  <c:v>Sindh </c:v>
                </c:pt>
                <c:pt idx="3">
                  <c:v>Punjab </c:v>
                </c:pt>
                <c:pt idx="4">
                  <c:v>Azad Jamu and Kashmir</c:v>
                </c:pt>
                <c:pt idx="5">
                  <c:v>Gilgit-Baltistan </c:v>
                </c:pt>
                <c:pt idx="6">
                  <c:v>Federal Adminstrated Tribal Areas/Frontier Regions</c:v>
                </c:pt>
              </c:strCache>
            </c:strRef>
          </c:cat>
          <c:val>
            <c:numRef>
              <c:f>'Figs for ppt'!$B$14:$B$20</c:f>
              <c:numCache>
                <c:formatCode>General</c:formatCode>
                <c:ptCount val="7"/>
                <c:pt idx="0">
                  <c:v>547</c:v>
                </c:pt>
                <c:pt idx="1">
                  <c:v>961</c:v>
                </c:pt>
                <c:pt idx="2">
                  <c:v>921</c:v>
                </c:pt>
                <c:pt idx="3">
                  <c:v>2647</c:v>
                </c:pt>
                <c:pt idx="4">
                  <c:v>196</c:v>
                </c:pt>
                <c:pt idx="5">
                  <c:v>103</c:v>
                </c:pt>
                <c:pt idx="6">
                  <c:v>190</c:v>
                </c:pt>
              </c:numCache>
            </c:numRef>
          </c:val>
        </c:ser>
        <c:ser>
          <c:idx val="1"/>
          <c:order val="1"/>
          <c:tx>
            <c:strRef>
              <c:f>'Figs for ppt'!$C$13</c:f>
              <c:strCache>
                <c:ptCount val="1"/>
                <c:pt idx="0">
                  <c:v>Number of UCs with RSP Presence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Lbls>
            <c:dLbl>
              <c:idx val="0"/>
              <c:layout>
                <c:manualLayout>
                  <c:x val="1.424501424501425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4928774928774936E-2"/>
                  <c:y val="1.6666666666666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2.4928774928774936E-2"/>
                  <c:y val="8.333333333333336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3.0270655270655287E-2"/>
                  <c:y val="-8.333333333333336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 b="0">
                    <a:latin typeface="Garamond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'Figs for ppt'!$A$14:$A$20</c:f>
              <c:strCache>
                <c:ptCount val="7"/>
                <c:pt idx="0">
                  <c:v>Balochistan </c:v>
                </c:pt>
                <c:pt idx="1">
                  <c:v>Khyber Pakhtunkhwa</c:v>
                </c:pt>
                <c:pt idx="2">
                  <c:v>Sindh </c:v>
                </c:pt>
                <c:pt idx="3">
                  <c:v>Punjab </c:v>
                </c:pt>
                <c:pt idx="4">
                  <c:v>Azad Jamu and Kashmir</c:v>
                </c:pt>
                <c:pt idx="5">
                  <c:v>Gilgit-Baltistan </c:v>
                </c:pt>
                <c:pt idx="6">
                  <c:v>Federal Adminstrated Tribal Areas/Frontier Regions</c:v>
                </c:pt>
              </c:strCache>
            </c:strRef>
          </c:cat>
          <c:val>
            <c:numRef>
              <c:f>'Figs for ppt'!$C$14:$C$20</c:f>
              <c:numCache>
                <c:formatCode>General</c:formatCode>
                <c:ptCount val="7"/>
                <c:pt idx="0">
                  <c:v>245</c:v>
                </c:pt>
                <c:pt idx="1">
                  <c:v>524</c:v>
                </c:pt>
                <c:pt idx="2">
                  <c:v>639</c:v>
                </c:pt>
                <c:pt idx="3">
                  <c:v>1839</c:v>
                </c:pt>
                <c:pt idx="4">
                  <c:v>179</c:v>
                </c:pt>
                <c:pt idx="5">
                  <c:v>94</c:v>
                </c:pt>
                <c:pt idx="6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594368"/>
        <c:axId val="115595904"/>
        <c:axId val="0"/>
      </c:bar3DChart>
      <c:catAx>
        <c:axId val="1155943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anchor="t" anchorCtr="0"/>
          <a:lstStyle/>
          <a:p>
            <a:pPr>
              <a:defRPr sz="1100"/>
            </a:pPr>
            <a:endParaRPr lang="en-US"/>
          </a:p>
        </c:txPr>
        <c:crossAx val="115595904"/>
        <c:crosses val="autoZero"/>
        <c:auto val="1"/>
        <c:lblAlgn val="ctr"/>
        <c:lblOffset val="100"/>
        <c:noMultiLvlLbl val="0"/>
      </c:catAx>
      <c:valAx>
        <c:axId val="11559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594368"/>
        <c:crosses val="autoZero"/>
        <c:crossBetween val="between"/>
        <c:majorUnit val="300"/>
      </c:valAx>
    </c:plotArea>
    <c:legend>
      <c:legendPos val="b"/>
      <c:layout>
        <c:manualLayout>
          <c:xMode val="edge"/>
          <c:yMode val="edge"/>
          <c:x val="0.23710905511811026"/>
          <c:y val="0.91278290213723257"/>
          <c:w val="0.54938438572773274"/>
          <c:h val="4.920520649204566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>
                <a:latin typeface="Garamond" pitchFamily="18" charset="0"/>
              </a:defRPr>
            </a:pPr>
            <a:r>
              <a:rPr lang="en-US" sz="1800" b="0" i="0" baseline="0">
                <a:latin typeface="Garamond" pitchFamily="18" charset="0"/>
              </a:rPr>
              <a:t>Province-wise organised households </a:t>
            </a:r>
          </a:p>
          <a:p>
            <a:pPr>
              <a:defRPr b="0">
                <a:latin typeface="Garamond" pitchFamily="18" charset="0"/>
              </a:defRPr>
            </a:pPr>
            <a:r>
              <a:rPr lang="en-US" sz="1800" b="0" i="0" baseline="0">
                <a:latin typeface="Garamond" pitchFamily="18" charset="0"/>
              </a:rPr>
              <a:t>(% of total rural households based on 1998 census data ) </a:t>
            </a:r>
          </a:p>
          <a:p>
            <a:pPr>
              <a:defRPr b="0">
                <a:latin typeface="Garamond" pitchFamily="18" charset="0"/>
              </a:defRPr>
            </a:pPr>
            <a:r>
              <a:rPr lang="en-US" sz="1800" b="0" i="0" baseline="0">
                <a:latin typeface="Garamond" pitchFamily="18" charset="0"/>
              </a:rPr>
              <a:t>(As of March 2011)  </a:t>
            </a:r>
            <a:endParaRPr lang="en-US" b="0">
              <a:latin typeface="Garamond" pitchFamily="18" charset="0"/>
            </a:endParaRPr>
          </a:p>
        </c:rich>
      </c:tx>
      <c:layout>
        <c:manualLayout>
          <c:xMode val="edge"/>
          <c:yMode val="edge"/>
          <c:x val="9.8797730928795208E-2"/>
          <c:y val="0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4353337005713898E-2"/>
          <c:y val="0.17592550696834403"/>
          <c:w val="0.92707327479126789"/>
          <c:h val="0.6504661973549393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'Figs for ppt'!$B$25</c:f>
              <c:strCache>
                <c:ptCount val="1"/>
                <c:pt idx="0">
                  <c:v>% of Organised households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>
                    <a:latin typeface="Garamond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'Figs for ppt'!$A$26:$A$33</c:f>
              <c:strCache>
                <c:ptCount val="8"/>
                <c:pt idx="0">
                  <c:v>Balochistan </c:v>
                </c:pt>
                <c:pt idx="1">
                  <c:v>Khyber Pakhtunkhwa</c:v>
                </c:pt>
                <c:pt idx="2">
                  <c:v>Sindh </c:v>
                </c:pt>
                <c:pt idx="3">
                  <c:v>Punjab </c:v>
                </c:pt>
                <c:pt idx="4">
                  <c:v>Azad Jamu and Kashmir</c:v>
                </c:pt>
                <c:pt idx="5">
                  <c:v>Gilgit-Baltistan </c:v>
                </c:pt>
                <c:pt idx="6">
                  <c:v>Federal Adminstrated Tribal Areas/Frontier Regions</c:v>
                </c:pt>
                <c:pt idx="7">
                  <c:v>Grand Total </c:v>
                </c:pt>
              </c:strCache>
            </c:strRef>
          </c:cat>
          <c:val>
            <c:numRef>
              <c:f>'Figs for ppt'!$B$26:$B$33</c:f>
              <c:numCache>
                <c:formatCode>_(* #,##0.0_);_(* \(#,##0.0\);_(* "-"??_);_(@_)</c:formatCode>
                <c:ptCount val="8"/>
                <c:pt idx="0">
                  <c:v>43.766319744729074</c:v>
                </c:pt>
                <c:pt idx="1">
                  <c:v>40.894352817770645</c:v>
                </c:pt>
                <c:pt idx="2">
                  <c:v>30.589372853724715</c:v>
                </c:pt>
                <c:pt idx="3">
                  <c:v>36.272289793967452</c:v>
                </c:pt>
                <c:pt idx="4">
                  <c:v>57.706394219042458</c:v>
                </c:pt>
                <c:pt idx="5">
                  <c:v>69.747920669136846</c:v>
                </c:pt>
                <c:pt idx="6">
                  <c:v>12.079899196463613</c:v>
                </c:pt>
                <c:pt idx="7">
                  <c:v>36.823836968516069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149632"/>
        <c:axId val="116151424"/>
        <c:axId val="0"/>
      </c:bar3DChart>
      <c:catAx>
        <c:axId val="116149632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nextTo"/>
        <c:crossAx val="116151424"/>
        <c:crosses val="autoZero"/>
        <c:auto val="0"/>
        <c:lblAlgn val="ctr"/>
        <c:lblOffset val="100"/>
        <c:noMultiLvlLbl val="0"/>
      </c:catAx>
      <c:valAx>
        <c:axId val="116151424"/>
        <c:scaling>
          <c:orientation val="minMax"/>
        </c:scaling>
        <c:delete val="0"/>
        <c:axPos val="l"/>
        <c:majorGridlines/>
        <c:numFmt formatCode="_(* #,##0.0_);_(* \(#,##0.0\);_(* &quot;-&quot;??_);_(@_)" sourceLinked="1"/>
        <c:majorTickMark val="out"/>
        <c:minorTickMark val="none"/>
        <c:tickLblPos val="nextTo"/>
        <c:crossAx val="116149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590549</xdr:colOff>
      <xdr:row>2</xdr:row>
      <xdr:rowOff>323849</xdr:rowOff>
    </xdr:from>
    <xdr:to>
      <xdr:col>28</xdr:col>
      <xdr:colOff>228598</xdr:colOff>
      <xdr:row>32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34</xdr:row>
      <xdr:rowOff>85726</xdr:rowOff>
    </xdr:from>
    <xdr:to>
      <xdr:col>30</xdr:col>
      <xdr:colOff>548640</xdr:colOff>
      <xdr:row>63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390525</xdr:colOff>
      <xdr:row>34</xdr:row>
      <xdr:rowOff>85726</xdr:rowOff>
    </xdr:from>
    <xdr:to>
      <xdr:col>19</xdr:col>
      <xdr:colOff>360045</xdr:colOff>
      <xdr:row>69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6"/>
  <sheetViews>
    <sheetView view="pageBreakPreview" zoomScaleNormal="87" zoomScaleSheetLayoutView="100" workbookViewId="0">
      <pane xSplit="2" ySplit="3" topLeftCell="C204" activePane="bottomRight" state="frozen"/>
      <selection pane="topRight" activeCell="C1" sqref="C1"/>
      <selection pane="bottomLeft" activeCell="A4" sqref="A4"/>
      <selection pane="bottomRight" activeCell="B221" sqref="B221"/>
    </sheetView>
  </sheetViews>
  <sheetFormatPr defaultColWidth="9.109375" defaultRowHeight="13.8" x14ac:dyDescent="0.25"/>
  <cols>
    <col min="1" max="1" width="13.44140625" style="2" customWidth="1"/>
    <col min="2" max="2" width="28.88671875" style="1" bestFit="1" customWidth="1"/>
    <col min="3" max="3" width="17.6640625" style="3" bestFit="1" customWidth="1"/>
    <col min="4" max="4" width="11.5546875" style="3" customWidth="1"/>
    <col min="5" max="5" width="15.5546875" style="3" customWidth="1"/>
    <col min="6" max="6" width="13.5546875" style="12" bestFit="1" customWidth="1"/>
    <col min="7" max="7" width="15.88671875" style="10" customWidth="1"/>
    <col min="8" max="8" width="15.5546875" style="10" customWidth="1"/>
    <col min="9" max="9" width="15.5546875" style="12" customWidth="1"/>
    <col min="10" max="10" width="13" style="3" bestFit="1" customWidth="1"/>
    <col min="11" max="16384" width="9.109375" style="1"/>
  </cols>
  <sheetData>
    <row r="1" spans="1:11" ht="14.4" thickBot="1" x14ac:dyDescent="0.3">
      <c r="A1" s="152" t="s">
        <v>41</v>
      </c>
      <c r="B1" s="152"/>
      <c r="C1" s="152"/>
      <c r="D1" s="152"/>
      <c r="E1" s="152"/>
      <c r="F1" s="152"/>
      <c r="G1" s="152"/>
      <c r="H1" s="152"/>
      <c r="I1" s="152"/>
      <c r="J1" s="152"/>
    </row>
    <row r="2" spans="1:11" ht="53.25" customHeight="1" x14ac:dyDescent="0.25">
      <c r="A2" s="153" t="s">
        <v>42</v>
      </c>
      <c r="B2" s="155" t="s">
        <v>43</v>
      </c>
      <c r="C2" s="155" t="s">
        <v>230</v>
      </c>
      <c r="D2" s="159" t="s">
        <v>44</v>
      </c>
      <c r="E2" s="159"/>
      <c r="F2" s="155" t="s">
        <v>47</v>
      </c>
      <c r="G2" s="159" t="s">
        <v>45</v>
      </c>
      <c r="H2" s="159"/>
      <c r="I2" s="155" t="s">
        <v>240</v>
      </c>
      <c r="J2" s="157" t="s">
        <v>46</v>
      </c>
    </row>
    <row r="3" spans="1:11" ht="37.5" customHeight="1" thickBot="1" x14ac:dyDescent="0.3">
      <c r="A3" s="154"/>
      <c r="B3" s="156"/>
      <c r="C3" s="156"/>
      <c r="D3" s="135" t="s">
        <v>239</v>
      </c>
      <c r="E3" s="135" t="s">
        <v>238</v>
      </c>
      <c r="F3" s="156"/>
      <c r="G3" s="135" t="s">
        <v>239</v>
      </c>
      <c r="H3" s="135" t="s">
        <v>238</v>
      </c>
      <c r="I3" s="156"/>
      <c r="J3" s="158"/>
    </row>
    <row r="4" spans="1:11" ht="10.5" customHeight="1" thickBot="1" x14ac:dyDescent="0.35">
      <c r="A4" s="14"/>
      <c r="B4" s="15"/>
      <c r="C4" s="16"/>
      <c r="D4" s="16"/>
      <c r="E4" s="16"/>
      <c r="F4" s="17"/>
      <c r="G4" s="18"/>
      <c r="H4" s="18"/>
      <c r="I4" s="17"/>
      <c r="J4" s="16"/>
    </row>
    <row r="5" spans="1:11" ht="21.75" customHeight="1" x14ac:dyDescent="0.25">
      <c r="A5" s="19" t="s">
        <v>48</v>
      </c>
      <c r="B5" s="20"/>
      <c r="C5" s="21"/>
      <c r="D5" s="21"/>
      <c r="E5" s="21"/>
      <c r="F5" s="21"/>
      <c r="G5" s="22"/>
      <c r="H5" s="22"/>
      <c r="I5" s="21"/>
      <c r="J5" s="23"/>
    </row>
    <row r="6" spans="1:11" x14ac:dyDescent="0.25">
      <c r="A6" s="24">
        <v>1</v>
      </c>
      <c r="B6" s="25" t="s">
        <v>49</v>
      </c>
      <c r="C6" s="26">
        <v>12</v>
      </c>
      <c r="D6" s="26">
        <v>12</v>
      </c>
      <c r="E6" s="27">
        <f>D6/C6%</f>
        <v>100</v>
      </c>
      <c r="F6" s="26">
        <v>43884</v>
      </c>
      <c r="G6" s="26">
        <v>13848</v>
      </c>
      <c r="H6" s="27">
        <f>G6/F6%</f>
        <v>31.555920153130984</v>
      </c>
      <c r="I6" s="28">
        <v>896</v>
      </c>
      <c r="J6" s="29" t="s">
        <v>6</v>
      </c>
      <c r="K6" s="13"/>
    </row>
    <row r="7" spans="1:11" s="5" customFormat="1" ht="14.4" thickBot="1" x14ac:dyDescent="0.3">
      <c r="A7" s="30">
        <f>A6</f>
        <v>1</v>
      </c>
      <c r="B7" s="31" t="s">
        <v>50</v>
      </c>
      <c r="C7" s="32">
        <f t="shared" ref="C7" si="0">SUM(C6:C6)</f>
        <v>12</v>
      </c>
      <c r="D7" s="32">
        <f>D6</f>
        <v>12</v>
      </c>
      <c r="E7" s="33">
        <f>D7/C7%</f>
        <v>100</v>
      </c>
      <c r="F7" s="32">
        <f t="shared" ref="F7" si="1">SUM(F6:F6)</f>
        <v>43884</v>
      </c>
      <c r="G7" s="32">
        <f>G6</f>
        <v>13848</v>
      </c>
      <c r="H7" s="33">
        <f>G7/F7%</f>
        <v>31.555920153130984</v>
      </c>
      <c r="I7" s="32">
        <f>I6</f>
        <v>896</v>
      </c>
      <c r="J7" s="34"/>
    </row>
    <row r="8" spans="1:11" ht="4.5" customHeight="1" thickBot="1" x14ac:dyDescent="0.35">
      <c r="A8" s="14"/>
      <c r="B8" s="15"/>
      <c r="C8" s="79"/>
      <c r="D8" s="35"/>
      <c r="E8" s="36"/>
      <c r="F8" s="79"/>
      <c r="G8" s="35"/>
      <c r="H8" s="81"/>
      <c r="I8" s="37"/>
      <c r="J8" s="16"/>
    </row>
    <row r="9" spans="1:11" x14ac:dyDescent="0.25">
      <c r="A9" s="19" t="s">
        <v>51</v>
      </c>
      <c r="B9" s="20"/>
      <c r="C9" s="21"/>
      <c r="D9" s="38"/>
      <c r="E9" s="39"/>
      <c r="F9" s="21"/>
      <c r="G9" s="38"/>
      <c r="H9" s="83"/>
      <c r="I9" s="40"/>
      <c r="J9" s="23"/>
    </row>
    <row r="10" spans="1:11" x14ac:dyDescent="0.25">
      <c r="A10" s="24">
        <v>1</v>
      </c>
      <c r="B10" s="25" t="s">
        <v>52</v>
      </c>
      <c r="C10" s="26">
        <v>8</v>
      </c>
      <c r="D10" s="26">
        <v>8</v>
      </c>
      <c r="E10" s="27">
        <f>D10/C10%</f>
        <v>100</v>
      </c>
      <c r="F10" s="26">
        <v>22144</v>
      </c>
      <c r="G10" s="26">
        <v>9345</v>
      </c>
      <c r="H10" s="27">
        <f>G10/F10%</f>
        <v>42.201047687861269</v>
      </c>
      <c r="I10" s="28">
        <v>565</v>
      </c>
      <c r="J10" s="29" t="s">
        <v>6</v>
      </c>
      <c r="K10" s="13"/>
    </row>
    <row r="11" spans="1:11" x14ac:dyDescent="0.25">
      <c r="A11" s="24">
        <v>2</v>
      </c>
      <c r="B11" s="25" t="s">
        <v>196</v>
      </c>
      <c r="C11" s="26">
        <v>8</v>
      </c>
      <c r="D11" s="26">
        <v>0</v>
      </c>
      <c r="E11" s="27">
        <v>0</v>
      </c>
      <c r="F11" s="26">
        <v>0</v>
      </c>
      <c r="G11" s="26">
        <v>0</v>
      </c>
      <c r="H11" s="27">
        <v>0</v>
      </c>
      <c r="I11" s="28">
        <v>0</v>
      </c>
      <c r="J11" s="124">
        <v>0</v>
      </c>
      <c r="K11" s="13"/>
    </row>
    <row r="12" spans="1:11" x14ac:dyDescent="0.25">
      <c r="A12" s="24">
        <v>3</v>
      </c>
      <c r="B12" s="25" t="s">
        <v>53</v>
      </c>
      <c r="C12" s="26">
        <v>27</v>
      </c>
      <c r="D12" s="26">
        <v>1</v>
      </c>
      <c r="E12" s="27">
        <f>D12/C12%</f>
        <v>3.7037037037037033</v>
      </c>
      <c r="F12" s="26">
        <v>35003</v>
      </c>
      <c r="G12" s="26">
        <v>2434</v>
      </c>
      <c r="H12" s="27">
        <f>G12/F12%</f>
        <v>6.953689683741394</v>
      </c>
      <c r="I12" s="26">
        <f>162-53</f>
        <v>109</v>
      </c>
      <c r="J12" s="29" t="s">
        <v>4</v>
      </c>
      <c r="K12" s="13"/>
    </row>
    <row r="13" spans="1:11" x14ac:dyDescent="0.25">
      <c r="A13" s="24">
        <v>4</v>
      </c>
      <c r="B13" s="25" t="s">
        <v>197</v>
      </c>
      <c r="C13" s="26">
        <v>10</v>
      </c>
      <c r="D13" s="26">
        <v>0</v>
      </c>
      <c r="E13" s="27">
        <v>0</v>
      </c>
      <c r="F13" s="26">
        <v>0</v>
      </c>
      <c r="G13" s="26">
        <v>0</v>
      </c>
      <c r="H13" s="27">
        <v>0</v>
      </c>
      <c r="I13" s="28">
        <v>0</v>
      </c>
      <c r="J13" s="124">
        <v>0</v>
      </c>
      <c r="K13" s="13"/>
    </row>
    <row r="14" spans="1:11" x14ac:dyDescent="0.25">
      <c r="A14" s="24">
        <v>5</v>
      </c>
      <c r="B14" s="25" t="s">
        <v>198</v>
      </c>
      <c r="C14" s="26">
        <v>12</v>
      </c>
      <c r="D14" s="26">
        <v>0</v>
      </c>
      <c r="E14" s="27">
        <v>0</v>
      </c>
      <c r="F14" s="26">
        <v>0</v>
      </c>
      <c r="G14" s="26">
        <v>0</v>
      </c>
      <c r="H14" s="27">
        <v>0</v>
      </c>
      <c r="I14" s="28">
        <v>0</v>
      </c>
      <c r="J14" s="124">
        <v>0</v>
      </c>
      <c r="K14" s="13"/>
    </row>
    <row r="15" spans="1:11" x14ac:dyDescent="0.25">
      <c r="A15" s="24">
        <v>6</v>
      </c>
      <c r="B15" s="25" t="s">
        <v>54</v>
      </c>
      <c r="C15" s="26">
        <v>13</v>
      </c>
      <c r="D15" s="26">
        <v>13</v>
      </c>
      <c r="E15" s="27">
        <f>D15/C15%</f>
        <v>100</v>
      </c>
      <c r="F15" s="26">
        <v>16691</v>
      </c>
      <c r="G15" s="26">
        <v>13053</v>
      </c>
      <c r="H15" s="27">
        <f>G15/F15%</f>
        <v>78.203822419267865</v>
      </c>
      <c r="I15" s="28">
        <v>633</v>
      </c>
      <c r="J15" s="29" t="s">
        <v>6</v>
      </c>
      <c r="K15" s="13"/>
    </row>
    <row r="16" spans="1:11" x14ac:dyDescent="0.25">
      <c r="A16" s="24">
        <v>7</v>
      </c>
      <c r="B16" s="25" t="s">
        <v>199</v>
      </c>
      <c r="C16" s="26">
        <v>10</v>
      </c>
      <c r="D16" s="26">
        <v>0</v>
      </c>
      <c r="E16" s="27">
        <v>0</v>
      </c>
      <c r="F16" s="26">
        <v>0</v>
      </c>
      <c r="G16" s="26">
        <v>0</v>
      </c>
      <c r="H16" s="27">
        <v>0</v>
      </c>
      <c r="I16" s="28">
        <v>0</v>
      </c>
      <c r="J16" s="124">
        <v>0</v>
      </c>
      <c r="K16" s="13"/>
    </row>
    <row r="17" spans="1:11" x14ac:dyDescent="0.25">
      <c r="A17" s="24">
        <v>8</v>
      </c>
      <c r="B17" s="25" t="s">
        <v>55</v>
      </c>
      <c r="C17" s="26">
        <v>9</v>
      </c>
      <c r="D17" s="26">
        <v>9</v>
      </c>
      <c r="E17" s="27">
        <f t="shared" ref="E17:E22" si="2">D17/C17%</f>
        <v>100</v>
      </c>
      <c r="F17" s="26">
        <v>16184</v>
      </c>
      <c r="G17" s="26">
        <v>8531</v>
      </c>
      <c r="H17" s="27">
        <f t="shared" ref="H17:H22" si="3">G17/F17%</f>
        <v>52.712555610479484</v>
      </c>
      <c r="I17" s="26">
        <f>459-53</f>
        <v>406</v>
      </c>
      <c r="J17" s="29" t="s">
        <v>4</v>
      </c>
      <c r="K17" s="13"/>
    </row>
    <row r="18" spans="1:11" x14ac:dyDescent="0.25">
      <c r="A18" s="24">
        <v>9</v>
      </c>
      <c r="B18" s="25" t="s">
        <v>56</v>
      </c>
      <c r="C18" s="26">
        <v>46</v>
      </c>
      <c r="D18" s="26">
        <v>22</v>
      </c>
      <c r="E18" s="27">
        <f t="shared" si="2"/>
        <v>47.826086956521735</v>
      </c>
      <c r="F18" s="26">
        <v>52664</v>
      </c>
      <c r="G18" s="26">
        <v>5659</v>
      </c>
      <c r="H18" s="27">
        <f t="shared" si="3"/>
        <v>10.745480783837156</v>
      </c>
      <c r="I18" s="26">
        <f>377-53</f>
        <v>324</v>
      </c>
      <c r="J18" s="29" t="s">
        <v>4</v>
      </c>
      <c r="K18" s="13"/>
    </row>
    <row r="19" spans="1:11" x14ac:dyDescent="0.25">
      <c r="A19" s="24">
        <v>10</v>
      </c>
      <c r="B19" s="25" t="s">
        <v>57</v>
      </c>
      <c r="C19" s="26">
        <v>18</v>
      </c>
      <c r="D19" s="26">
        <v>15</v>
      </c>
      <c r="E19" s="27">
        <f t="shared" si="2"/>
        <v>83.333333333333343</v>
      </c>
      <c r="F19" s="26">
        <v>31396</v>
      </c>
      <c r="G19" s="26">
        <v>28829</v>
      </c>
      <c r="H19" s="27">
        <f t="shared" si="3"/>
        <v>91.823799210090456</v>
      </c>
      <c r="I19" s="26">
        <f>1922-53</f>
        <v>1869</v>
      </c>
      <c r="J19" s="29" t="s">
        <v>4</v>
      </c>
      <c r="K19" s="13"/>
    </row>
    <row r="20" spans="1:11" x14ac:dyDescent="0.25">
      <c r="A20" s="24">
        <v>11</v>
      </c>
      <c r="B20" s="25" t="s">
        <v>58</v>
      </c>
      <c r="C20" s="26">
        <v>38</v>
      </c>
      <c r="D20" s="26">
        <v>38</v>
      </c>
      <c r="E20" s="27">
        <f t="shared" si="2"/>
        <v>100</v>
      </c>
      <c r="F20" s="26">
        <v>70164</v>
      </c>
      <c r="G20" s="26">
        <v>38239</v>
      </c>
      <c r="H20" s="27">
        <f t="shared" si="3"/>
        <v>54.499458411721115</v>
      </c>
      <c r="I20" s="28">
        <v>1751</v>
      </c>
      <c r="J20" s="29" t="s">
        <v>6</v>
      </c>
      <c r="K20" s="13"/>
    </row>
    <row r="21" spans="1:11" x14ac:dyDescent="0.25">
      <c r="A21" s="24">
        <v>12</v>
      </c>
      <c r="B21" s="25" t="s">
        <v>59</v>
      </c>
      <c r="C21" s="26">
        <v>7</v>
      </c>
      <c r="D21" s="26">
        <v>7</v>
      </c>
      <c r="E21" s="27">
        <f t="shared" si="2"/>
        <v>99.999999999999986</v>
      </c>
      <c r="F21" s="26">
        <v>14328.125</v>
      </c>
      <c r="G21" s="26">
        <v>11349</v>
      </c>
      <c r="H21" s="27">
        <f t="shared" si="3"/>
        <v>79.207851690294433</v>
      </c>
      <c r="I21" s="26">
        <f>689-53</f>
        <v>636</v>
      </c>
      <c r="J21" s="29" t="s">
        <v>4</v>
      </c>
      <c r="K21" s="13"/>
    </row>
    <row r="22" spans="1:11" x14ac:dyDescent="0.25">
      <c r="A22" s="24">
        <v>13</v>
      </c>
      <c r="B22" s="25" t="s">
        <v>60</v>
      </c>
      <c r="C22" s="26">
        <v>35</v>
      </c>
      <c r="D22" s="26">
        <v>27</v>
      </c>
      <c r="E22" s="27">
        <f t="shared" si="2"/>
        <v>77.142857142857153</v>
      </c>
      <c r="F22" s="26">
        <v>60032</v>
      </c>
      <c r="G22" s="26">
        <v>23871</v>
      </c>
      <c r="H22" s="27">
        <f t="shared" si="3"/>
        <v>39.763792643923239</v>
      </c>
      <c r="I22" s="26">
        <f>1415-53</f>
        <v>1362</v>
      </c>
      <c r="J22" s="29" t="s">
        <v>4</v>
      </c>
      <c r="K22" s="13"/>
    </row>
    <row r="23" spans="1:11" x14ac:dyDescent="0.25">
      <c r="A23" s="24">
        <v>14</v>
      </c>
      <c r="B23" s="25" t="s">
        <v>200</v>
      </c>
      <c r="C23" s="26">
        <v>25</v>
      </c>
      <c r="D23" s="26">
        <v>0</v>
      </c>
      <c r="E23" s="27">
        <v>0</v>
      </c>
      <c r="F23" s="26">
        <v>0</v>
      </c>
      <c r="G23" s="26">
        <v>0</v>
      </c>
      <c r="H23" s="27">
        <v>0</v>
      </c>
      <c r="I23" s="26">
        <v>0</v>
      </c>
      <c r="J23" s="124">
        <v>0</v>
      </c>
      <c r="K23" s="13"/>
    </row>
    <row r="24" spans="1:11" x14ac:dyDescent="0.25">
      <c r="A24" s="24">
        <v>15</v>
      </c>
      <c r="B24" s="25" t="s">
        <v>61</v>
      </c>
      <c r="C24" s="26">
        <v>15</v>
      </c>
      <c r="D24" s="26">
        <v>13</v>
      </c>
      <c r="E24" s="27">
        <f>D24/C24%</f>
        <v>86.666666666666671</v>
      </c>
      <c r="F24" s="26">
        <v>28796</v>
      </c>
      <c r="G24" s="26">
        <v>18542</v>
      </c>
      <c r="H24" s="27">
        <f>G24/F24%</f>
        <v>64.390887623281017</v>
      </c>
      <c r="I24" s="26">
        <f>1236-53</f>
        <v>1183</v>
      </c>
      <c r="J24" s="29" t="s">
        <v>4</v>
      </c>
      <c r="K24" s="13"/>
    </row>
    <row r="25" spans="1:11" x14ac:dyDescent="0.25">
      <c r="A25" s="24">
        <v>16</v>
      </c>
      <c r="B25" s="25" t="s">
        <v>201</v>
      </c>
      <c r="C25" s="26">
        <v>8</v>
      </c>
      <c r="D25" s="26">
        <v>0</v>
      </c>
      <c r="E25" s="27">
        <v>0</v>
      </c>
      <c r="F25" s="26">
        <v>0</v>
      </c>
      <c r="G25" s="26">
        <v>0</v>
      </c>
      <c r="H25" s="27">
        <v>0</v>
      </c>
      <c r="I25" s="28">
        <v>0</v>
      </c>
      <c r="J25" s="124">
        <v>0</v>
      </c>
      <c r="K25" s="13"/>
    </row>
    <row r="26" spans="1:11" x14ac:dyDescent="0.25">
      <c r="A26" s="24">
        <v>17</v>
      </c>
      <c r="B26" s="25" t="s">
        <v>62</v>
      </c>
      <c r="C26" s="26">
        <v>22</v>
      </c>
      <c r="D26" s="26">
        <v>0</v>
      </c>
      <c r="E26" s="27">
        <f>D26/C26%</f>
        <v>0</v>
      </c>
      <c r="F26" s="26">
        <v>34637</v>
      </c>
      <c r="G26" s="26">
        <v>0</v>
      </c>
      <c r="H26" s="27">
        <f>G26/F26%</f>
        <v>0</v>
      </c>
      <c r="I26" s="28">
        <v>0</v>
      </c>
      <c r="J26" s="29" t="s">
        <v>6</v>
      </c>
      <c r="K26" s="13"/>
    </row>
    <row r="27" spans="1:11" x14ac:dyDescent="0.25">
      <c r="A27" s="24">
        <v>18</v>
      </c>
      <c r="B27" s="25" t="s">
        <v>202</v>
      </c>
      <c r="C27" s="26">
        <v>20</v>
      </c>
      <c r="D27" s="26">
        <v>0</v>
      </c>
      <c r="E27" s="27">
        <v>0</v>
      </c>
      <c r="F27" s="26">
        <v>0</v>
      </c>
      <c r="G27" s="26">
        <v>0</v>
      </c>
      <c r="H27" s="27">
        <v>0</v>
      </c>
      <c r="I27" s="28">
        <v>0</v>
      </c>
      <c r="J27" s="124">
        <v>0</v>
      </c>
      <c r="K27" s="13"/>
    </row>
    <row r="28" spans="1:11" x14ac:dyDescent="0.25">
      <c r="A28" s="24">
        <v>19</v>
      </c>
      <c r="B28" s="25" t="s">
        <v>63</v>
      </c>
      <c r="C28" s="26">
        <v>13</v>
      </c>
      <c r="D28" s="26">
        <v>13</v>
      </c>
      <c r="E28" s="27">
        <f>D28/C28%</f>
        <v>100</v>
      </c>
      <c r="F28" s="26">
        <v>18831</v>
      </c>
      <c r="G28" s="26">
        <v>18831</v>
      </c>
      <c r="H28" s="27">
        <f>G28/F28%</f>
        <v>100</v>
      </c>
      <c r="I28" s="26">
        <f>1255-53</f>
        <v>1202</v>
      </c>
      <c r="J28" s="29" t="s">
        <v>4</v>
      </c>
      <c r="K28" s="13"/>
    </row>
    <row r="29" spans="1:11" x14ac:dyDescent="0.25">
      <c r="A29" s="24">
        <v>20</v>
      </c>
      <c r="B29" s="25" t="s">
        <v>203</v>
      </c>
      <c r="C29" s="26">
        <v>10</v>
      </c>
      <c r="D29" s="26">
        <v>0</v>
      </c>
      <c r="E29" s="27">
        <v>0</v>
      </c>
      <c r="F29" s="26">
        <v>0</v>
      </c>
      <c r="G29" s="26">
        <v>0</v>
      </c>
      <c r="H29" s="27">
        <v>0</v>
      </c>
      <c r="I29" s="28">
        <v>0</v>
      </c>
      <c r="J29" s="124">
        <v>0</v>
      </c>
      <c r="K29" s="13"/>
    </row>
    <row r="30" spans="1:11" x14ac:dyDescent="0.25">
      <c r="A30" s="24">
        <v>21</v>
      </c>
      <c r="B30" s="25" t="s">
        <v>204</v>
      </c>
      <c r="C30" s="26">
        <v>24</v>
      </c>
      <c r="D30" s="26">
        <v>0</v>
      </c>
      <c r="E30" s="27">
        <v>0</v>
      </c>
      <c r="F30" s="26">
        <v>0</v>
      </c>
      <c r="G30" s="26">
        <v>0</v>
      </c>
      <c r="H30" s="27">
        <v>0</v>
      </c>
      <c r="I30" s="28">
        <v>0</v>
      </c>
      <c r="J30" s="124">
        <v>0</v>
      </c>
      <c r="K30" s="13"/>
    </row>
    <row r="31" spans="1:11" x14ac:dyDescent="0.25">
      <c r="A31" s="24">
        <v>22</v>
      </c>
      <c r="B31" s="25" t="s">
        <v>205</v>
      </c>
      <c r="C31" s="26">
        <v>10</v>
      </c>
      <c r="D31" s="26">
        <v>0</v>
      </c>
      <c r="E31" s="27">
        <v>0</v>
      </c>
      <c r="F31" s="26">
        <v>0</v>
      </c>
      <c r="G31" s="26">
        <v>0</v>
      </c>
      <c r="H31" s="27">
        <v>0</v>
      </c>
      <c r="I31" s="28">
        <v>0</v>
      </c>
      <c r="J31" s="124">
        <v>0</v>
      </c>
      <c r="K31" s="13"/>
    </row>
    <row r="32" spans="1:11" x14ac:dyDescent="0.25">
      <c r="A32" s="24">
        <v>23</v>
      </c>
      <c r="B32" s="25" t="s">
        <v>64</v>
      </c>
      <c r="C32" s="26">
        <v>16</v>
      </c>
      <c r="D32" s="26">
        <v>16</v>
      </c>
      <c r="E32" s="27">
        <f>D32/C32%</f>
        <v>100</v>
      </c>
      <c r="F32" s="26">
        <v>35703</v>
      </c>
      <c r="G32" s="26">
        <v>14878</v>
      </c>
      <c r="H32" s="27">
        <f>G32/F32%</f>
        <v>41.671568215556121</v>
      </c>
      <c r="I32" s="28">
        <v>907</v>
      </c>
      <c r="J32" s="29" t="s">
        <v>6</v>
      </c>
      <c r="K32" s="13"/>
    </row>
    <row r="33" spans="1:11" x14ac:dyDescent="0.25">
      <c r="A33" s="24">
        <v>24</v>
      </c>
      <c r="B33" s="25" t="s">
        <v>65</v>
      </c>
      <c r="C33" s="26">
        <v>38</v>
      </c>
      <c r="D33" s="26">
        <v>35</v>
      </c>
      <c r="E33" s="27">
        <f>D33/C33%</f>
        <v>92.10526315789474</v>
      </c>
      <c r="F33" s="26">
        <v>55654</v>
      </c>
      <c r="G33" s="26">
        <v>17828</v>
      </c>
      <c r="H33" s="27">
        <f>G33/F33%</f>
        <v>32.033636396305745</v>
      </c>
      <c r="I33" s="26">
        <f>1189-53</f>
        <v>1136</v>
      </c>
      <c r="J33" s="29" t="s">
        <v>4</v>
      </c>
      <c r="K33" s="13"/>
    </row>
    <row r="34" spans="1:11" x14ac:dyDescent="0.25">
      <c r="A34" s="24">
        <v>25</v>
      </c>
      <c r="B34" s="25" t="s">
        <v>209</v>
      </c>
      <c r="C34" s="26">
        <v>47</v>
      </c>
      <c r="D34" s="26">
        <v>0</v>
      </c>
      <c r="E34" s="27">
        <v>0</v>
      </c>
      <c r="F34" s="26">
        <v>0</v>
      </c>
      <c r="G34" s="26">
        <v>0</v>
      </c>
      <c r="H34" s="27">
        <v>0</v>
      </c>
      <c r="I34" s="26">
        <v>0</v>
      </c>
      <c r="J34" s="124">
        <v>0</v>
      </c>
      <c r="K34" s="13"/>
    </row>
    <row r="35" spans="1:11" x14ac:dyDescent="0.25">
      <c r="A35" s="24">
        <v>26</v>
      </c>
      <c r="B35" s="25" t="s">
        <v>66</v>
      </c>
      <c r="C35" s="26">
        <v>7</v>
      </c>
      <c r="D35" s="26">
        <v>7</v>
      </c>
      <c r="E35" s="27">
        <f>D35/C35%</f>
        <v>99.999999999999986</v>
      </c>
      <c r="F35" s="26">
        <v>10608.311688311687</v>
      </c>
      <c r="G35" s="26">
        <v>2520</v>
      </c>
      <c r="H35" s="27">
        <f>G35/F35%</f>
        <v>23.754958131335393</v>
      </c>
      <c r="I35" s="26">
        <f>168-55</f>
        <v>113</v>
      </c>
      <c r="J35" s="29" t="s">
        <v>4</v>
      </c>
      <c r="K35" s="13"/>
    </row>
    <row r="36" spans="1:11" x14ac:dyDescent="0.25">
      <c r="A36" s="24">
        <v>27</v>
      </c>
      <c r="B36" s="25" t="s">
        <v>206</v>
      </c>
      <c r="C36" s="26">
        <v>11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124">
        <v>0</v>
      </c>
      <c r="K36" s="13"/>
    </row>
    <row r="37" spans="1:11" x14ac:dyDescent="0.25">
      <c r="A37" s="24">
        <v>28</v>
      </c>
      <c r="B37" s="25" t="s">
        <v>207</v>
      </c>
      <c r="C37" s="26">
        <v>9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124">
        <v>0</v>
      </c>
      <c r="K37" s="13"/>
    </row>
    <row r="38" spans="1:11" x14ac:dyDescent="0.25">
      <c r="A38" s="24">
        <v>29</v>
      </c>
      <c r="B38" s="25" t="s">
        <v>67</v>
      </c>
      <c r="C38" s="26">
        <v>21</v>
      </c>
      <c r="D38" s="26">
        <v>21</v>
      </c>
      <c r="E38" s="27">
        <f>D38/C38%</f>
        <v>100</v>
      </c>
      <c r="F38" s="26">
        <v>21117.688311688311</v>
      </c>
      <c r="G38" s="26">
        <v>15406</v>
      </c>
      <c r="H38" s="27">
        <f>G38/F38%</f>
        <v>72.95306083039884</v>
      </c>
      <c r="I38" s="26">
        <f>1027-54</f>
        <v>973</v>
      </c>
      <c r="J38" s="29" t="s">
        <v>4</v>
      </c>
      <c r="K38" s="13"/>
    </row>
    <row r="39" spans="1:11" x14ac:dyDescent="0.25">
      <c r="A39" s="24">
        <v>30</v>
      </c>
      <c r="B39" s="49" t="s">
        <v>208</v>
      </c>
      <c r="C39" s="50">
        <v>10</v>
      </c>
      <c r="D39" s="50">
        <v>0</v>
      </c>
      <c r="E39" s="51">
        <v>0</v>
      </c>
      <c r="F39" s="50">
        <v>0</v>
      </c>
      <c r="G39" s="50">
        <v>0</v>
      </c>
      <c r="H39" s="51">
        <v>0</v>
      </c>
      <c r="I39" s="50">
        <v>0</v>
      </c>
      <c r="J39" s="136">
        <v>0</v>
      </c>
      <c r="K39" s="13"/>
    </row>
    <row r="40" spans="1:11" s="5" customFormat="1" ht="14.4" thickBot="1" x14ac:dyDescent="0.3">
      <c r="A40" s="30">
        <f>COUNTIF(J10:J39,"*")</f>
        <v>16</v>
      </c>
      <c r="B40" s="31" t="s">
        <v>50</v>
      </c>
      <c r="C40" s="32">
        <f>SUM(C10:C39)</f>
        <v>547</v>
      </c>
      <c r="D40" s="32">
        <f>SUM(D10:D39)</f>
        <v>245</v>
      </c>
      <c r="E40" s="33">
        <f>D40/C40%</f>
        <v>44.789762340036567</v>
      </c>
      <c r="F40" s="32">
        <f>SUM(F10:F39)</f>
        <v>523953.125</v>
      </c>
      <c r="G40" s="32">
        <f>SUM(G10:G39)</f>
        <v>229315</v>
      </c>
      <c r="H40" s="33">
        <f>G40/F40%</f>
        <v>43.766319744729074</v>
      </c>
      <c r="I40" s="32">
        <f>SUM(I10:I39)</f>
        <v>13169</v>
      </c>
      <c r="J40" s="34"/>
      <c r="K40" s="13"/>
    </row>
    <row r="41" spans="1:11" ht="5.25" customHeight="1" thickBot="1" x14ac:dyDescent="0.35">
      <c r="A41" s="137"/>
      <c r="B41" s="138"/>
      <c r="C41" s="60"/>
      <c r="D41" s="59"/>
      <c r="E41" s="58"/>
      <c r="F41" s="60"/>
      <c r="G41" s="59"/>
      <c r="H41" s="84"/>
      <c r="I41" s="60"/>
      <c r="J41" s="139"/>
      <c r="K41" s="13"/>
    </row>
    <row r="42" spans="1:11" s="6" customFormat="1" x14ac:dyDescent="0.25">
      <c r="A42" s="19" t="s">
        <v>68</v>
      </c>
      <c r="B42" s="20"/>
      <c r="C42" s="21"/>
      <c r="D42" s="38"/>
      <c r="E42" s="39"/>
      <c r="F42" s="21"/>
      <c r="G42" s="38"/>
      <c r="H42" s="83"/>
      <c r="I42" s="40"/>
      <c r="J42" s="23"/>
      <c r="K42" s="13"/>
    </row>
    <row r="43" spans="1:11" x14ac:dyDescent="0.25">
      <c r="A43" s="24">
        <v>1</v>
      </c>
      <c r="B43" s="25" t="s">
        <v>69</v>
      </c>
      <c r="C43" s="26">
        <v>51</v>
      </c>
      <c r="D43" s="26">
        <v>43</v>
      </c>
      <c r="E43" s="27">
        <f>D43/C43%</f>
        <v>84.313725490196077</v>
      </c>
      <c r="F43" s="26">
        <v>115585</v>
      </c>
      <c r="G43" s="26">
        <v>46600</v>
      </c>
      <c r="H43" s="27">
        <f>G43/F43%</f>
        <v>40.316650084353512</v>
      </c>
      <c r="I43" s="26">
        <f>1538-12</f>
        <v>1526</v>
      </c>
      <c r="J43" s="29" t="s">
        <v>10</v>
      </c>
      <c r="K43" s="13"/>
    </row>
    <row r="44" spans="1:11" x14ac:dyDescent="0.25">
      <c r="A44" s="24">
        <v>2</v>
      </c>
      <c r="B44" s="25" t="s">
        <v>222</v>
      </c>
      <c r="C44" s="26">
        <v>49</v>
      </c>
      <c r="D44" s="26">
        <v>0</v>
      </c>
      <c r="E44" s="27">
        <v>0</v>
      </c>
      <c r="F44" s="26">
        <v>0</v>
      </c>
      <c r="G44" s="45">
        <v>0</v>
      </c>
      <c r="H44" s="27">
        <v>0</v>
      </c>
      <c r="I44" s="26">
        <v>0</v>
      </c>
      <c r="J44" s="124">
        <v>0</v>
      </c>
      <c r="K44" s="13"/>
    </row>
    <row r="45" spans="1:11" x14ac:dyDescent="0.25">
      <c r="A45" s="24">
        <v>3</v>
      </c>
      <c r="B45" s="25" t="s">
        <v>70</v>
      </c>
      <c r="C45" s="26">
        <v>20</v>
      </c>
      <c r="D45" s="26">
        <v>20</v>
      </c>
      <c r="E45" s="27">
        <f t="shared" ref="E45:E52" si="4">D45/C45%</f>
        <v>100</v>
      </c>
      <c r="F45" s="26">
        <v>46053</v>
      </c>
      <c r="G45" s="26">
        <v>33042</v>
      </c>
      <c r="H45" s="27">
        <f t="shared" ref="H45:H52" si="5">G45/F45%</f>
        <v>71.747768874991863</v>
      </c>
      <c r="I45" s="26">
        <f>1236-12</f>
        <v>1224</v>
      </c>
      <c r="J45" s="29" t="s">
        <v>10</v>
      </c>
      <c r="K45" s="13"/>
    </row>
    <row r="46" spans="1:11" x14ac:dyDescent="0.25">
      <c r="A46" s="24">
        <v>4</v>
      </c>
      <c r="B46" s="25" t="s">
        <v>71</v>
      </c>
      <c r="C46" s="26">
        <v>27</v>
      </c>
      <c r="D46" s="26">
        <v>5</v>
      </c>
      <c r="E46" s="27">
        <f t="shared" si="4"/>
        <v>18.518518518518519</v>
      </c>
      <c r="F46" s="26">
        <v>56591</v>
      </c>
      <c r="G46" s="26">
        <v>269</v>
      </c>
      <c r="H46" s="27">
        <f t="shared" si="5"/>
        <v>0.475340601862487</v>
      </c>
      <c r="I46" s="28">
        <v>19</v>
      </c>
      <c r="J46" s="29" t="s">
        <v>6</v>
      </c>
      <c r="K46" s="13"/>
    </row>
    <row r="47" spans="1:11" x14ac:dyDescent="0.25">
      <c r="A47" s="24">
        <v>4</v>
      </c>
      <c r="B47" s="25" t="s">
        <v>72</v>
      </c>
      <c r="C47" s="26">
        <v>27</v>
      </c>
      <c r="D47" s="26">
        <v>10</v>
      </c>
      <c r="E47" s="27">
        <f t="shared" si="4"/>
        <v>37.037037037037038</v>
      </c>
      <c r="F47" s="26">
        <v>56591</v>
      </c>
      <c r="G47" s="26">
        <v>975</v>
      </c>
      <c r="H47" s="27">
        <f t="shared" si="5"/>
        <v>1.7228887985722112</v>
      </c>
      <c r="I47" s="26">
        <v>50</v>
      </c>
      <c r="J47" s="29" t="s">
        <v>10</v>
      </c>
      <c r="K47" s="13"/>
    </row>
    <row r="48" spans="1:11" x14ac:dyDescent="0.25">
      <c r="A48" s="24">
        <v>5</v>
      </c>
      <c r="B48" s="25" t="s">
        <v>73</v>
      </c>
      <c r="C48" s="26">
        <v>49</v>
      </c>
      <c r="D48" s="26">
        <v>28</v>
      </c>
      <c r="E48" s="27">
        <f t="shared" si="4"/>
        <v>57.142857142857146</v>
      </c>
      <c r="F48" s="26">
        <v>102361</v>
      </c>
      <c r="G48" s="26">
        <v>12926</v>
      </c>
      <c r="H48" s="27">
        <f t="shared" si="5"/>
        <v>12.627856312462754</v>
      </c>
      <c r="I48" s="28">
        <v>736</v>
      </c>
      <c r="J48" s="29" t="s">
        <v>6</v>
      </c>
      <c r="K48" s="13"/>
    </row>
    <row r="49" spans="1:11" x14ac:dyDescent="0.25">
      <c r="A49" s="24">
        <v>5</v>
      </c>
      <c r="B49" s="25" t="s">
        <v>74</v>
      </c>
      <c r="C49" s="26">
        <v>49</v>
      </c>
      <c r="D49" s="26">
        <v>37</v>
      </c>
      <c r="E49" s="27">
        <f t="shared" si="4"/>
        <v>75.510204081632651</v>
      </c>
      <c r="F49" s="26">
        <v>102361</v>
      </c>
      <c r="G49" s="26">
        <v>20550</v>
      </c>
      <c r="H49" s="27">
        <f t="shared" si="5"/>
        <v>20.076005509911003</v>
      </c>
      <c r="I49" s="26">
        <f>791-12</f>
        <v>779</v>
      </c>
      <c r="J49" s="29" t="s">
        <v>10</v>
      </c>
      <c r="K49" s="13"/>
    </row>
    <row r="50" spans="1:11" x14ac:dyDescent="0.25">
      <c r="A50" s="24">
        <v>6</v>
      </c>
      <c r="B50" s="25" t="s">
        <v>75</v>
      </c>
      <c r="C50" s="26">
        <v>24</v>
      </c>
      <c r="D50" s="26">
        <v>24</v>
      </c>
      <c r="E50" s="27">
        <f t="shared" si="4"/>
        <v>100</v>
      </c>
      <c r="F50" s="26">
        <v>36879</v>
      </c>
      <c r="G50" s="26">
        <v>33188</v>
      </c>
      <c r="H50" s="27">
        <f t="shared" si="5"/>
        <v>89.991594132161936</v>
      </c>
      <c r="I50" s="28">
        <v>1439</v>
      </c>
      <c r="J50" s="29" t="s">
        <v>3</v>
      </c>
      <c r="K50" s="13"/>
    </row>
    <row r="51" spans="1:11" x14ac:dyDescent="0.25">
      <c r="A51" s="24">
        <v>6</v>
      </c>
      <c r="B51" s="25" t="s">
        <v>76</v>
      </c>
      <c r="C51" s="26">
        <v>24</v>
      </c>
      <c r="D51" s="26">
        <v>24</v>
      </c>
      <c r="E51" s="27">
        <f t="shared" si="4"/>
        <v>100</v>
      </c>
      <c r="F51" s="26">
        <v>36879</v>
      </c>
      <c r="G51" s="26">
        <v>22572</v>
      </c>
      <c r="H51" s="27">
        <f t="shared" si="5"/>
        <v>61.205564142194739</v>
      </c>
      <c r="I51" s="26">
        <f>699-12</f>
        <v>687</v>
      </c>
      <c r="J51" s="29" t="s">
        <v>10</v>
      </c>
      <c r="K51" s="13"/>
    </row>
    <row r="52" spans="1:11" x14ac:dyDescent="0.25">
      <c r="A52" s="24">
        <v>7</v>
      </c>
      <c r="B52" s="25" t="s">
        <v>77</v>
      </c>
      <c r="C52" s="26">
        <v>28</v>
      </c>
      <c r="D52" s="26">
        <v>19</v>
      </c>
      <c r="E52" s="27">
        <f t="shared" si="4"/>
        <v>67.857142857142847</v>
      </c>
      <c r="F52" s="26">
        <v>70230</v>
      </c>
      <c r="G52" s="26">
        <v>26244</v>
      </c>
      <c r="H52" s="27">
        <f t="shared" si="5"/>
        <v>37.368645877829991</v>
      </c>
      <c r="I52" s="26">
        <f>1337-15</f>
        <v>1322</v>
      </c>
      <c r="J52" s="29" t="s">
        <v>10</v>
      </c>
      <c r="K52" s="13"/>
    </row>
    <row r="53" spans="1:11" x14ac:dyDescent="0.25">
      <c r="A53" s="24">
        <v>8</v>
      </c>
      <c r="B53" s="25" t="s">
        <v>223</v>
      </c>
      <c r="C53" s="26">
        <v>37</v>
      </c>
      <c r="D53" s="26">
        <v>0</v>
      </c>
      <c r="E53" s="27">
        <v>0</v>
      </c>
      <c r="F53" s="26">
        <v>0</v>
      </c>
      <c r="G53" s="45">
        <v>0</v>
      </c>
      <c r="H53" s="27">
        <v>0</v>
      </c>
      <c r="I53" s="26">
        <v>0</v>
      </c>
      <c r="J53" s="124">
        <v>0</v>
      </c>
      <c r="K53" s="13"/>
    </row>
    <row r="54" spans="1:11" x14ac:dyDescent="0.25">
      <c r="A54" s="24">
        <v>9</v>
      </c>
      <c r="B54" s="25" t="s">
        <v>224</v>
      </c>
      <c r="C54" s="26">
        <v>47</v>
      </c>
      <c r="D54" s="26">
        <v>0</v>
      </c>
      <c r="E54" s="27">
        <v>0</v>
      </c>
      <c r="F54" s="26">
        <v>0</v>
      </c>
      <c r="G54" s="45">
        <v>0</v>
      </c>
      <c r="H54" s="27">
        <v>0</v>
      </c>
      <c r="I54" s="26">
        <v>0</v>
      </c>
      <c r="J54" s="124">
        <v>0</v>
      </c>
      <c r="K54" s="13"/>
    </row>
    <row r="55" spans="1:11" x14ac:dyDescent="0.25">
      <c r="A55" s="24">
        <v>10</v>
      </c>
      <c r="B55" s="25" t="s">
        <v>78</v>
      </c>
      <c r="C55" s="26">
        <v>19</v>
      </c>
      <c r="D55" s="26">
        <v>17</v>
      </c>
      <c r="E55" s="27">
        <f t="shared" ref="E55:E60" si="6">D55/C55%</f>
        <v>89.473684210526315</v>
      </c>
      <c r="F55" s="26">
        <v>24536</v>
      </c>
      <c r="G55" s="26">
        <v>14204</v>
      </c>
      <c r="H55" s="27">
        <f t="shared" ref="H55:H60" si="7">G55/F55%</f>
        <v>57.890446690577107</v>
      </c>
      <c r="I55" s="26">
        <f>505-12</f>
        <v>493</v>
      </c>
      <c r="J55" s="29" t="s">
        <v>10</v>
      </c>
      <c r="K55" s="13"/>
    </row>
    <row r="56" spans="1:11" x14ac:dyDescent="0.25">
      <c r="A56" s="24">
        <v>11</v>
      </c>
      <c r="B56" s="25" t="s">
        <v>79</v>
      </c>
      <c r="C56" s="26">
        <v>45</v>
      </c>
      <c r="D56" s="26">
        <v>4</v>
      </c>
      <c r="E56" s="27">
        <f t="shared" si="6"/>
        <v>8.8888888888888893</v>
      </c>
      <c r="F56" s="26">
        <v>94383</v>
      </c>
      <c r="G56" s="26">
        <v>6306</v>
      </c>
      <c r="H56" s="27">
        <f t="shared" si="7"/>
        <v>6.6812879438034392</v>
      </c>
      <c r="I56" s="26">
        <v>611</v>
      </c>
      <c r="J56" s="29" t="s">
        <v>5</v>
      </c>
      <c r="K56" s="13"/>
    </row>
    <row r="57" spans="1:11" x14ac:dyDescent="0.25">
      <c r="A57" s="24">
        <v>11</v>
      </c>
      <c r="B57" s="25" t="s">
        <v>80</v>
      </c>
      <c r="C57" s="26">
        <v>45</v>
      </c>
      <c r="D57" s="26">
        <v>37</v>
      </c>
      <c r="E57" s="27">
        <f t="shared" si="6"/>
        <v>82.222222222222214</v>
      </c>
      <c r="F57" s="26">
        <v>94383</v>
      </c>
      <c r="G57" s="26">
        <v>39747</v>
      </c>
      <c r="H57" s="27">
        <f t="shared" si="7"/>
        <v>42.112456692412827</v>
      </c>
      <c r="I57" s="26">
        <f>1220-12</f>
        <v>1208</v>
      </c>
      <c r="J57" s="29" t="s">
        <v>10</v>
      </c>
      <c r="K57" s="13"/>
    </row>
    <row r="58" spans="1:11" x14ac:dyDescent="0.25">
      <c r="A58" s="24">
        <v>12</v>
      </c>
      <c r="B58" s="25" t="s">
        <v>81</v>
      </c>
      <c r="C58" s="26">
        <v>21</v>
      </c>
      <c r="D58" s="26">
        <v>21</v>
      </c>
      <c r="E58" s="27">
        <f t="shared" si="6"/>
        <v>100</v>
      </c>
      <c r="F58" s="26">
        <v>40734</v>
      </c>
      <c r="G58" s="26">
        <v>44954</v>
      </c>
      <c r="H58" s="27">
        <f t="shared" si="7"/>
        <v>110.35989591005058</v>
      </c>
      <c r="I58" s="26">
        <f>1785-15</f>
        <v>1770</v>
      </c>
      <c r="J58" s="29" t="s">
        <v>10</v>
      </c>
      <c r="K58" s="13"/>
    </row>
    <row r="59" spans="1:11" x14ac:dyDescent="0.25">
      <c r="A59" s="24">
        <v>13</v>
      </c>
      <c r="B59" s="25" t="s">
        <v>82</v>
      </c>
      <c r="C59" s="26">
        <v>32</v>
      </c>
      <c r="D59" s="26">
        <v>29</v>
      </c>
      <c r="E59" s="27">
        <f t="shared" si="6"/>
        <v>90.625</v>
      </c>
      <c r="F59" s="26">
        <v>55911</v>
      </c>
      <c r="G59" s="26">
        <v>56592</v>
      </c>
      <c r="H59" s="27">
        <f t="shared" si="7"/>
        <v>101.21800718999839</v>
      </c>
      <c r="I59" s="26">
        <f>2211-20</f>
        <v>2191</v>
      </c>
      <c r="J59" s="29" t="s">
        <v>10</v>
      </c>
      <c r="K59" s="13"/>
    </row>
    <row r="60" spans="1:11" x14ac:dyDescent="0.25">
      <c r="A60" s="24">
        <v>14</v>
      </c>
      <c r="B60" s="25" t="s">
        <v>83</v>
      </c>
      <c r="C60" s="26">
        <v>38</v>
      </c>
      <c r="D60" s="26">
        <v>35</v>
      </c>
      <c r="E60" s="27">
        <f t="shared" si="6"/>
        <v>92.10526315789474</v>
      </c>
      <c r="F60" s="26">
        <v>74041</v>
      </c>
      <c r="G60" s="26">
        <v>28488</v>
      </c>
      <c r="H60" s="27">
        <f t="shared" si="7"/>
        <v>38.475979524857848</v>
      </c>
      <c r="I60" s="26">
        <f>1743-24</f>
        <v>1719</v>
      </c>
      <c r="J60" s="29" t="s">
        <v>10</v>
      </c>
      <c r="K60" s="13"/>
    </row>
    <row r="61" spans="1:11" x14ac:dyDescent="0.25">
      <c r="A61" s="24">
        <v>15</v>
      </c>
      <c r="B61" s="25" t="s">
        <v>226</v>
      </c>
      <c r="C61" s="26">
        <v>33</v>
      </c>
      <c r="D61" s="26">
        <v>0</v>
      </c>
      <c r="E61" s="27">
        <v>0</v>
      </c>
      <c r="F61" s="26">
        <v>0</v>
      </c>
      <c r="G61" s="26">
        <v>0</v>
      </c>
      <c r="H61" s="27">
        <v>0</v>
      </c>
      <c r="I61" s="28">
        <v>0</v>
      </c>
      <c r="J61" s="124">
        <v>0</v>
      </c>
      <c r="K61" s="13"/>
    </row>
    <row r="62" spans="1:11" x14ac:dyDescent="0.25">
      <c r="A62" s="24">
        <v>16</v>
      </c>
      <c r="B62" s="25" t="s">
        <v>84</v>
      </c>
      <c r="C62" s="26">
        <v>28</v>
      </c>
      <c r="D62" s="26">
        <v>25</v>
      </c>
      <c r="E62" s="27">
        <f t="shared" ref="E62:E72" si="8">D62/C62%</f>
        <v>89.285714285714278</v>
      </c>
      <c r="F62" s="26">
        <v>45731</v>
      </c>
      <c r="G62" s="26">
        <v>20272</v>
      </c>
      <c r="H62" s="27">
        <f t="shared" ref="H62:H72" si="9">G62/F62%</f>
        <v>44.328792285320681</v>
      </c>
      <c r="I62" s="28">
        <v>1456</v>
      </c>
      <c r="J62" s="29" t="s">
        <v>6</v>
      </c>
      <c r="K62" s="13"/>
    </row>
    <row r="63" spans="1:11" x14ac:dyDescent="0.25">
      <c r="A63" s="24">
        <v>17</v>
      </c>
      <c r="B63" s="25" t="s">
        <v>85</v>
      </c>
      <c r="C63" s="26">
        <v>59</v>
      </c>
      <c r="D63" s="26">
        <v>54</v>
      </c>
      <c r="E63" s="27">
        <f t="shared" si="8"/>
        <v>91.525423728813564</v>
      </c>
      <c r="F63" s="26">
        <v>167833</v>
      </c>
      <c r="G63" s="26">
        <v>98993</v>
      </c>
      <c r="H63" s="27">
        <f t="shared" si="9"/>
        <v>58.983036709109655</v>
      </c>
      <c r="I63" s="26">
        <f>3411-18</f>
        <v>3393</v>
      </c>
      <c r="J63" s="29" t="s">
        <v>10</v>
      </c>
      <c r="K63" s="13"/>
    </row>
    <row r="64" spans="1:11" x14ac:dyDescent="0.25">
      <c r="A64" s="24">
        <v>18</v>
      </c>
      <c r="B64" s="25" t="s">
        <v>86</v>
      </c>
      <c r="C64" s="26">
        <v>75</v>
      </c>
      <c r="D64" s="26">
        <v>63</v>
      </c>
      <c r="E64" s="27">
        <f t="shared" si="8"/>
        <v>84</v>
      </c>
      <c r="F64" s="26">
        <v>141386</v>
      </c>
      <c r="G64" s="26">
        <v>30781</v>
      </c>
      <c r="H64" s="27">
        <f t="shared" si="9"/>
        <v>21.770896694156423</v>
      </c>
      <c r="I64" s="28">
        <v>2181</v>
      </c>
      <c r="J64" s="29" t="s">
        <v>6</v>
      </c>
      <c r="K64" s="13"/>
    </row>
    <row r="65" spans="1:11" x14ac:dyDescent="0.25">
      <c r="A65" s="24">
        <v>18</v>
      </c>
      <c r="B65" s="25" t="s">
        <v>87</v>
      </c>
      <c r="C65" s="26">
        <v>75</v>
      </c>
      <c r="D65" s="26">
        <v>20</v>
      </c>
      <c r="E65" s="27">
        <f t="shared" si="8"/>
        <v>26.666666666666668</v>
      </c>
      <c r="F65" s="26">
        <v>141386</v>
      </c>
      <c r="G65" s="26">
        <v>30114</v>
      </c>
      <c r="H65" s="27">
        <f t="shared" si="9"/>
        <v>21.299138528567187</v>
      </c>
      <c r="I65" s="26">
        <f>1437-12</f>
        <v>1425</v>
      </c>
      <c r="J65" s="29" t="s">
        <v>10</v>
      </c>
      <c r="K65" s="13"/>
    </row>
    <row r="66" spans="1:11" x14ac:dyDescent="0.25">
      <c r="A66" s="24">
        <v>19</v>
      </c>
      <c r="B66" s="25" t="s">
        <v>88</v>
      </c>
      <c r="C66" s="26">
        <v>48</v>
      </c>
      <c r="D66" s="26">
        <v>10</v>
      </c>
      <c r="E66" s="27">
        <f t="shared" si="8"/>
        <v>20.833333333333336</v>
      </c>
      <c r="F66" s="26">
        <v>84851</v>
      </c>
      <c r="G66" s="26">
        <v>10872</v>
      </c>
      <c r="H66" s="27">
        <f t="shared" si="9"/>
        <v>12.813048756054732</v>
      </c>
      <c r="I66" s="26">
        <f>466-10</f>
        <v>456</v>
      </c>
      <c r="J66" s="29" t="s">
        <v>10</v>
      </c>
      <c r="K66" s="13"/>
    </row>
    <row r="67" spans="1:11" x14ac:dyDescent="0.25">
      <c r="A67" s="24">
        <v>20</v>
      </c>
      <c r="B67" s="25" t="s">
        <v>89</v>
      </c>
      <c r="C67" s="26">
        <v>67</v>
      </c>
      <c r="D67" s="26">
        <v>10</v>
      </c>
      <c r="E67" s="27">
        <f t="shared" si="8"/>
        <v>14.925373134328357</v>
      </c>
      <c r="F67" s="26">
        <v>132070</v>
      </c>
      <c r="G67" s="26">
        <v>6927</v>
      </c>
      <c r="H67" s="27">
        <f t="shared" si="9"/>
        <v>5.2449458620428562</v>
      </c>
      <c r="I67" s="26">
        <f>337-12</f>
        <v>325</v>
      </c>
      <c r="J67" s="29" t="s">
        <v>10</v>
      </c>
      <c r="K67" s="13"/>
    </row>
    <row r="68" spans="1:11" x14ac:dyDescent="0.25">
      <c r="A68" s="24">
        <v>21</v>
      </c>
      <c r="B68" s="25" t="s">
        <v>90</v>
      </c>
      <c r="C68" s="26">
        <v>28</v>
      </c>
      <c r="D68" s="26">
        <v>18</v>
      </c>
      <c r="E68" s="27">
        <f t="shared" si="8"/>
        <v>64.285714285714278</v>
      </c>
      <c r="F68" s="26">
        <v>53994</v>
      </c>
      <c r="G68" s="26">
        <v>20982</v>
      </c>
      <c r="H68" s="27">
        <f t="shared" si="9"/>
        <v>38.859873319257694</v>
      </c>
      <c r="I68" s="26">
        <f>1228-15</f>
        <v>1213</v>
      </c>
      <c r="J68" s="29" t="s">
        <v>10</v>
      </c>
      <c r="K68" s="13"/>
    </row>
    <row r="69" spans="1:11" x14ac:dyDescent="0.25">
      <c r="A69" s="24">
        <v>22</v>
      </c>
      <c r="B69" s="25" t="s">
        <v>91</v>
      </c>
      <c r="C69" s="26">
        <v>55</v>
      </c>
      <c r="D69" s="26">
        <v>4</v>
      </c>
      <c r="E69" s="27">
        <f t="shared" si="8"/>
        <v>7.2727272727272725</v>
      </c>
      <c r="F69" s="26">
        <v>112083</v>
      </c>
      <c r="G69" s="26">
        <v>7104</v>
      </c>
      <c r="H69" s="27">
        <f t="shared" si="9"/>
        <v>6.3381601134873264</v>
      </c>
      <c r="I69" s="26">
        <v>540</v>
      </c>
      <c r="J69" s="29" t="s">
        <v>5</v>
      </c>
      <c r="K69" s="13"/>
    </row>
    <row r="70" spans="1:11" x14ac:dyDescent="0.25">
      <c r="A70" s="24">
        <v>22</v>
      </c>
      <c r="B70" s="25" t="s">
        <v>92</v>
      </c>
      <c r="C70" s="26">
        <v>55</v>
      </c>
      <c r="D70" s="26">
        <v>38</v>
      </c>
      <c r="E70" s="27">
        <f t="shared" si="8"/>
        <v>69.090909090909079</v>
      </c>
      <c r="F70" s="26">
        <v>112083</v>
      </c>
      <c r="G70" s="26">
        <v>23493</v>
      </c>
      <c r="H70" s="27">
        <f t="shared" si="9"/>
        <v>20.960359733411849</v>
      </c>
      <c r="I70" s="28">
        <v>1503</v>
      </c>
      <c r="J70" s="29" t="s">
        <v>6</v>
      </c>
      <c r="K70" s="13"/>
    </row>
    <row r="71" spans="1:11" x14ac:dyDescent="0.25">
      <c r="A71" s="24">
        <v>23</v>
      </c>
      <c r="B71" s="25" t="s">
        <v>93</v>
      </c>
      <c r="C71" s="26">
        <v>65</v>
      </c>
      <c r="D71" s="26">
        <v>19</v>
      </c>
      <c r="E71" s="27">
        <f t="shared" si="8"/>
        <v>29.23076923076923</v>
      </c>
      <c r="F71" s="26">
        <v>125377</v>
      </c>
      <c r="G71" s="26">
        <v>6488</v>
      </c>
      <c r="H71" s="27">
        <f t="shared" si="9"/>
        <v>5.1747928248402815</v>
      </c>
      <c r="I71" s="28">
        <v>298</v>
      </c>
      <c r="J71" s="29" t="s">
        <v>6</v>
      </c>
      <c r="K71" s="13"/>
    </row>
    <row r="72" spans="1:11" x14ac:dyDescent="0.25">
      <c r="A72" s="24">
        <v>23</v>
      </c>
      <c r="B72" s="25" t="s">
        <v>94</v>
      </c>
      <c r="C72" s="26">
        <v>65</v>
      </c>
      <c r="D72" s="26">
        <v>14</v>
      </c>
      <c r="E72" s="27">
        <f t="shared" si="8"/>
        <v>21.538461538461537</v>
      </c>
      <c r="F72" s="26">
        <v>125377</v>
      </c>
      <c r="G72" s="26">
        <v>3705</v>
      </c>
      <c r="H72" s="27">
        <f t="shared" si="9"/>
        <v>2.9550874562320044</v>
      </c>
      <c r="I72" s="26">
        <f>152-10</f>
        <v>142</v>
      </c>
      <c r="J72" s="29" t="s">
        <v>10</v>
      </c>
      <c r="K72" s="13"/>
    </row>
    <row r="73" spans="1:11" x14ac:dyDescent="0.25">
      <c r="A73" s="48">
        <v>24</v>
      </c>
      <c r="B73" s="49" t="s">
        <v>225</v>
      </c>
      <c r="C73" s="50">
        <v>16</v>
      </c>
      <c r="D73" s="50">
        <v>0</v>
      </c>
      <c r="E73" s="51">
        <v>0</v>
      </c>
      <c r="F73" s="50">
        <v>0</v>
      </c>
      <c r="G73" s="50">
        <v>0</v>
      </c>
      <c r="H73" s="51">
        <v>0</v>
      </c>
      <c r="I73" s="50">
        <v>0</v>
      </c>
      <c r="J73" s="136">
        <v>0</v>
      </c>
      <c r="K73" s="13"/>
    </row>
    <row r="74" spans="1:11" s="5" customFormat="1" ht="14.4" thickBot="1" x14ac:dyDescent="0.3">
      <c r="A74" s="30">
        <f>A73-5</f>
        <v>19</v>
      </c>
      <c r="B74" s="31" t="s">
        <v>95</v>
      </c>
      <c r="C74" s="32">
        <f>SUM(C43:C73)-(C47+C48+C51+C56+C65+C69+C72)</f>
        <v>961</v>
      </c>
      <c r="D74" s="32">
        <f>SUM(D43:D73)-(D47+D48+D51+D56+D65+D69+D72)</f>
        <v>524</v>
      </c>
      <c r="E74" s="33">
        <f>D74/C74%</f>
        <v>54.526534859521334</v>
      </c>
      <c r="F74" s="32">
        <f>SUM(F43:F73)-(F47+F48+F51+F56+F65+F69+F72)</f>
        <v>1580629</v>
      </c>
      <c r="G74" s="32">
        <f>SUM(G43:G73)</f>
        <v>646388</v>
      </c>
      <c r="H74" s="33">
        <f>G74/F74%</f>
        <v>40.894352817770645</v>
      </c>
      <c r="I74" s="32">
        <f>SUM(I43:I73)</f>
        <v>28706</v>
      </c>
      <c r="J74" s="34"/>
      <c r="K74" s="13"/>
    </row>
    <row r="75" spans="1:11" ht="8.25" customHeight="1" thickBot="1" x14ac:dyDescent="0.35">
      <c r="A75" s="14"/>
      <c r="B75" s="15"/>
      <c r="C75" s="79"/>
      <c r="D75" s="35"/>
      <c r="E75" s="36"/>
      <c r="F75" s="79"/>
      <c r="G75" s="35"/>
      <c r="H75" s="81"/>
      <c r="I75" s="37"/>
      <c r="J75" s="16"/>
      <c r="K75" s="13"/>
    </row>
    <row r="76" spans="1:11" s="6" customFormat="1" x14ac:dyDescent="0.25">
      <c r="A76" s="19" t="s">
        <v>96</v>
      </c>
      <c r="B76" s="20"/>
      <c r="C76" s="21"/>
      <c r="D76" s="38"/>
      <c r="E76" s="39"/>
      <c r="F76" s="21"/>
      <c r="G76" s="38"/>
      <c r="H76" s="83"/>
      <c r="I76" s="40"/>
      <c r="J76" s="23"/>
      <c r="K76" s="13"/>
    </row>
    <row r="77" spans="1:11" ht="14.4" x14ac:dyDescent="0.3">
      <c r="A77" s="24">
        <v>1</v>
      </c>
      <c r="B77" s="25" t="s">
        <v>97</v>
      </c>
      <c r="C77" s="26">
        <v>46</v>
      </c>
      <c r="D77" s="26">
        <v>46</v>
      </c>
      <c r="E77" s="27">
        <f t="shared" ref="E77:E82" si="10">D77/C77%</f>
        <v>100</v>
      </c>
      <c r="F77" s="41">
        <v>185266</v>
      </c>
      <c r="G77" s="26">
        <v>71070</v>
      </c>
      <c r="H77" s="27">
        <f t="shared" ref="H77:H82" si="11">G77/F77%</f>
        <v>38.361059233750389</v>
      </c>
      <c r="I77" s="28">
        <v>3589</v>
      </c>
      <c r="J77" s="42" t="s">
        <v>6</v>
      </c>
      <c r="K77" s="13"/>
    </row>
    <row r="78" spans="1:11" x14ac:dyDescent="0.25">
      <c r="A78" s="24">
        <v>2</v>
      </c>
      <c r="B78" s="25" t="s">
        <v>98</v>
      </c>
      <c r="C78" s="26">
        <v>52</v>
      </c>
      <c r="D78" s="26">
        <v>30</v>
      </c>
      <c r="E78" s="27">
        <f t="shared" si="10"/>
        <v>57.692307692307693</v>
      </c>
      <c r="F78" s="26">
        <v>164849</v>
      </c>
      <c r="G78" s="26">
        <v>32363</v>
      </c>
      <c r="H78" s="27">
        <f t="shared" si="11"/>
        <v>19.631905562059824</v>
      </c>
      <c r="I78" s="26">
        <v>1207</v>
      </c>
      <c r="J78" s="43" t="s">
        <v>11</v>
      </c>
      <c r="K78" s="13"/>
    </row>
    <row r="79" spans="1:11" ht="14.4" x14ac:dyDescent="0.3">
      <c r="A79" s="24">
        <v>3</v>
      </c>
      <c r="B79" s="25" t="s">
        <v>99</v>
      </c>
      <c r="C79" s="45">
        <v>46</v>
      </c>
      <c r="D79" s="26">
        <v>35</v>
      </c>
      <c r="E79" s="27">
        <f t="shared" si="10"/>
        <v>76.086956521739125</v>
      </c>
      <c r="F79" s="26">
        <v>158489</v>
      </c>
      <c r="G79" s="26">
        <v>74930</v>
      </c>
      <c r="H79" s="27">
        <f t="shared" si="11"/>
        <v>47.277729053751358</v>
      </c>
      <c r="I79" s="26">
        <v>3757</v>
      </c>
      <c r="J79" s="42" t="s">
        <v>9</v>
      </c>
      <c r="K79" s="13"/>
    </row>
    <row r="80" spans="1:11" ht="14.4" x14ac:dyDescent="0.3">
      <c r="A80" s="24">
        <v>4</v>
      </c>
      <c r="B80" s="25" t="s">
        <v>100</v>
      </c>
      <c r="C80" s="26">
        <v>37</v>
      </c>
      <c r="D80" s="26">
        <v>10</v>
      </c>
      <c r="E80" s="27">
        <f t="shared" si="10"/>
        <v>27.027027027027028</v>
      </c>
      <c r="F80" s="41">
        <v>128856</v>
      </c>
      <c r="G80" s="26">
        <v>6412</v>
      </c>
      <c r="H80" s="27">
        <f t="shared" si="11"/>
        <v>4.9760973489787048</v>
      </c>
      <c r="I80" s="28">
        <v>444</v>
      </c>
      <c r="J80" s="42" t="s">
        <v>6</v>
      </c>
      <c r="K80" s="13"/>
    </row>
    <row r="81" spans="1:11" ht="14.4" x14ac:dyDescent="0.3">
      <c r="A81" s="24">
        <v>5</v>
      </c>
      <c r="B81" s="25" t="s">
        <v>101</v>
      </c>
      <c r="C81" s="26">
        <v>40</v>
      </c>
      <c r="D81" s="26">
        <v>18</v>
      </c>
      <c r="E81" s="27">
        <f t="shared" si="10"/>
        <v>45</v>
      </c>
      <c r="F81" s="26">
        <v>90682.077922077922</v>
      </c>
      <c r="G81" s="26">
        <v>39787</v>
      </c>
      <c r="H81" s="27">
        <f t="shared" si="11"/>
        <v>43.87526279910405</v>
      </c>
      <c r="I81" s="26">
        <v>2977</v>
      </c>
      <c r="J81" s="42" t="s">
        <v>9</v>
      </c>
      <c r="K81" s="13"/>
    </row>
    <row r="82" spans="1:11" x14ac:dyDescent="0.25">
      <c r="A82" s="24">
        <v>6</v>
      </c>
      <c r="B82" s="25" t="s">
        <v>102</v>
      </c>
      <c r="C82" s="26">
        <v>28</v>
      </c>
      <c r="D82" s="26">
        <v>11</v>
      </c>
      <c r="E82" s="27">
        <f t="shared" si="10"/>
        <v>39.285714285714285</v>
      </c>
      <c r="F82" s="26">
        <v>88816</v>
      </c>
      <c r="G82" s="26">
        <v>20148</v>
      </c>
      <c r="H82" s="27">
        <f t="shared" si="11"/>
        <v>22.685101783462439</v>
      </c>
      <c r="I82" s="26">
        <v>227</v>
      </c>
      <c r="J82" s="43" t="s">
        <v>11</v>
      </c>
      <c r="K82" s="13"/>
    </row>
    <row r="83" spans="1:11" x14ac:dyDescent="0.25">
      <c r="A83" s="24">
        <v>7</v>
      </c>
      <c r="B83" s="25" t="s">
        <v>227</v>
      </c>
      <c r="C83" s="26">
        <v>0</v>
      </c>
      <c r="D83" s="26">
        <v>0</v>
      </c>
      <c r="E83" s="27">
        <v>0</v>
      </c>
      <c r="F83" s="26">
        <v>0</v>
      </c>
      <c r="G83" s="26">
        <v>0</v>
      </c>
      <c r="H83" s="27">
        <v>0</v>
      </c>
      <c r="I83" s="26">
        <v>0</v>
      </c>
      <c r="J83" s="124">
        <v>0</v>
      </c>
      <c r="K83" s="13"/>
    </row>
    <row r="84" spans="1:11" ht="14.4" x14ac:dyDescent="0.3">
      <c r="A84" s="24">
        <v>8</v>
      </c>
      <c r="B84" s="25" t="s">
        <v>103</v>
      </c>
      <c r="C84" s="26">
        <v>37</v>
      </c>
      <c r="D84" s="26">
        <v>37</v>
      </c>
      <c r="E84" s="27">
        <f t="shared" ref="E84:E100" si="12">D84/C84%</f>
        <v>100</v>
      </c>
      <c r="F84" s="26">
        <v>110969</v>
      </c>
      <c r="G84" s="26">
        <v>78650</v>
      </c>
      <c r="H84" s="27">
        <f t="shared" ref="H84:H100" si="13">G84/F84%</f>
        <v>70.875649956294097</v>
      </c>
      <c r="I84" s="26">
        <v>4787</v>
      </c>
      <c r="J84" s="42" t="s">
        <v>9</v>
      </c>
      <c r="K84" s="13"/>
    </row>
    <row r="85" spans="1:11" ht="14.4" x14ac:dyDescent="0.3">
      <c r="A85" s="24">
        <v>9</v>
      </c>
      <c r="B85" s="44" t="s">
        <v>104</v>
      </c>
      <c r="C85" s="26">
        <v>76</v>
      </c>
      <c r="D85" s="26">
        <v>64</v>
      </c>
      <c r="E85" s="27">
        <f t="shared" si="12"/>
        <v>84.21052631578948</v>
      </c>
      <c r="F85" s="26">
        <v>208270</v>
      </c>
      <c r="G85" s="26">
        <v>53049</v>
      </c>
      <c r="H85" s="27">
        <f t="shared" si="13"/>
        <v>25.471263264032267</v>
      </c>
      <c r="I85" s="26">
        <v>2370</v>
      </c>
      <c r="J85" s="42" t="s">
        <v>9</v>
      </c>
      <c r="K85" s="13"/>
    </row>
    <row r="86" spans="1:11" ht="14.4" x14ac:dyDescent="0.3">
      <c r="A86" s="24">
        <v>10</v>
      </c>
      <c r="B86" s="25" t="s">
        <v>105</v>
      </c>
      <c r="C86" s="26">
        <v>44</v>
      </c>
      <c r="D86" s="26">
        <v>31</v>
      </c>
      <c r="E86" s="27">
        <f t="shared" si="12"/>
        <v>70.454545454545453</v>
      </c>
      <c r="F86" s="26">
        <v>121639.04761904762</v>
      </c>
      <c r="G86" s="26">
        <v>17018</v>
      </c>
      <c r="H86" s="27">
        <f t="shared" si="13"/>
        <v>13.990573202527385</v>
      </c>
      <c r="I86" s="26">
        <v>1052</v>
      </c>
      <c r="J86" s="42" t="s">
        <v>9</v>
      </c>
      <c r="K86" s="13"/>
    </row>
    <row r="87" spans="1:11" ht="14.4" x14ac:dyDescent="0.3">
      <c r="A87" s="24">
        <v>11</v>
      </c>
      <c r="B87" s="25" t="s">
        <v>106</v>
      </c>
      <c r="C87" s="26">
        <v>19</v>
      </c>
      <c r="D87" s="26">
        <v>15</v>
      </c>
      <c r="E87" s="27">
        <f t="shared" si="12"/>
        <v>78.94736842105263</v>
      </c>
      <c r="F87" s="41">
        <v>47026</v>
      </c>
      <c r="G87" s="26">
        <v>23129</v>
      </c>
      <c r="H87" s="27">
        <f t="shared" si="13"/>
        <v>49.183430442733808</v>
      </c>
      <c r="I87" s="28">
        <v>1770</v>
      </c>
      <c r="J87" s="42" t="s">
        <v>6</v>
      </c>
      <c r="K87" s="13"/>
    </row>
    <row r="88" spans="1:11" ht="14.4" x14ac:dyDescent="0.3">
      <c r="A88" s="24">
        <v>12</v>
      </c>
      <c r="B88" s="25" t="s">
        <v>107</v>
      </c>
      <c r="C88" s="26">
        <v>41</v>
      </c>
      <c r="D88" s="26">
        <v>41</v>
      </c>
      <c r="E88" s="27">
        <f t="shared" si="12"/>
        <v>100</v>
      </c>
      <c r="F88" s="41">
        <v>111973</v>
      </c>
      <c r="G88" s="26">
        <v>40850</v>
      </c>
      <c r="H88" s="27">
        <f t="shared" si="13"/>
        <v>36.48200905575451</v>
      </c>
      <c r="I88" s="28">
        <v>2529</v>
      </c>
      <c r="J88" s="42" t="s">
        <v>6</v>
      </c>
      <c r="K88" s="13"/>
    </row>
    <row r="89" spans="1:11" ht="14.4" x14ac:dyDescent="0.3">
      <c r="A89" s="24">
        <v>13</v>
      </c>
      <c r="B89" s="25" t="s">
        <v>108</v>
      </c>
      <c r="C89" s="26">
        <v>51</v>
      </c>
      <c r="D89" s="26">
        <v>21</v>
      </c>
      <c r="E89" s="27">
        <f t="shared" si="12"/>
        <v>41.17647058823529</v>
      </c>
      <c r="F89" s="26">
        <v>164715</v>
      </c>
      <c r="G89" s="26">
        <v>11854</v>
      </c>
      <c r="H89" s="27">
        <f t="shared" si="13"/>
        <v>7.196673041313784</v>
      </c>
      <c r="I89" s="26">
        <v>645</v>
      </c>
      <c r="J89" s="42" t="s">
        <v>9</v>
      </c>
      <c r="K89" s="13"/>
    </row>
    <row r="90" spans="1:11" ht="14.4" x14ac:dyDescent="0.3">
      <c r="A90" s="24">
        <v>14</v>
      </c>
      <c r="B90" s="25" t="s">
        <v>109</v>
      </c>
      <c r="C90" s="26">
        <v>51</v>
      </c>
      <c r="D90" s="26">
        <v>27</v>
      </c>
      <c r="E90" s="27">
        <f t="shared" si="12"/>
        <v>52.941176470588232</v>
      </c>
      <c r="F90" s="41">
        <v>141671</v>
      </c>
      <c r="G90" s="26">
        <v>3092</v>
      </c>
      <c r="H90" s="27">
        <f t="shared" si="13"/>
        <v>2.1825214758136808</v>
      </c>
      <c r="I90" s="28">
        <v>564</v>
      </c>
      <c r="J90" s="42" t="s">
        <v>6</v>
      </c>
      <c r="K90" s="13"/>
    </row>
    <row r="91" spans="1:11" ht="14.4" x14ac:dyDescent="0.3">
      <c r="A91" s="24">
        <v>15</v>
      </c>
      <c r="B91" s="25" t="s">
        <v>110</v>
      </c>
      <c r="C91" s="26">
        <v>40</v>
      </c>
      <c r="D91" s="26">
        <v>32</v>
      </c>
      <c r="E91" s="27">
        <f t="shared" si="12"/>
        <v>80</v>
      </c>
      <c r="F91" s="26">
        <v>128408</v>
      </c>
      <c r="G91" s="26">
        <v>16181</v>
      </c>
      <c r="H91" s="27">
        <f t="shared" si="13"/>
        <v>12.601239798143419</v>
      </c>
      <c r="I91" s="26">
        <v>1081</v>
      </c>
      <c r="J91" s="42" t="s">
        <v>9</v>
      </c>
      <c r="K91" s="13"/>
    </row>
    <row r="92" spans="1:11" ht="14.4" x14ac:dyDescent="0.3">
      <c r="A92" s="24">
        <v>16</v>
      </c>
      <c r="B92" s="25" t="s">
        <v>111</v>
      </c>
      <c r="C92" s="26">
        <v>55</v>
      </c>
      <c r="D92" s="26">
        <v>11</v>
      </c>
      <c r="E92" s="27">
        <f t="shared" si="12"/>
        <v>20</v>
      </c>
      <c r="F92" s="26">
        <v>209191</v>
      </c>
      <c r="G92" s="26">
        <v>9837</v>
      </c>
      <c r="H92" s="27">
        <f t="shared" si="13"/>
        <v>4.7024011549254032</v>
      </c>
      <c r="I92" s="45">
        <v>690</v>
      </c>
      <c r="J92" s="42" t="s">
        <v>8</v>
      </c>
      <c r="K92" s="13"/>
    </row>
    <row r="93" spans="1:11" ht="14.4" x14ac:dyDescent="0.3">
      <c r="A93" s="24">
        <v>17</v>
      </c>
      <c r="B93" s="25" t="s">
        <v>112</v>
      </c>
      <c r="C93" s="26">
        <v>51</v>
      </c>
      <c r="D93" s="26">
        <v>50</v>
      </c>
      <c r="E93" s="27">
        <f t="shared" si="12"/>
        <v>98.039215686274503</v>
      </c>
      <c r="F93" s="26">
        <v>122340</v>
      </c>
      <c r="G93" s="26">
        <v>98737</v>
      </c>
      <c r="H93" s="27">
        <f t="shared" si="13"/>
        <v>80.707045937551086</v>
      </c>
      <c r="I93" s="26">
        <v>5893</v>
      </c>
      <c r="J93" s="42" t="s">
        <v>9</v>
      </c>
      <c r="K93" s="13"/>
    </row>
    <row r="94" spans="1:11" ht="14.4" x14ac:dyDescent="0.3">
      <c r="A94" s="24">
        <v>18</v>
      </c>
      <c r="B94" s="25" t="s">
        <v>113</v>
      </c>
      <c r="C94" s="26">
        <v>46</v>
      </c>
      <c r="D94" s="26">
        <v>24</v>
      </c>
      <c r="E94" s="27">
        <f t="shared" si="12"/>
        <v>52.173913043478258</v>
      </c>
      <c r="F94" s="26">
        <v>78458</v>
      </c>
      <c r="G94" s="26">
        <v>19637</v>
      </c>
      <c r="H94" s="27">
        <f t="shared" si="13"/>
        <v>25.028677763899154</v>
      </c>
      <c r="I94" s="26">
        <v>1172</v>
      </c>
      <c r="J94" s="42" t="s">
        <v>9</v>
      </c>
      <c r="K94" s="13"/>
    </row>
    <row r="95" spans="1:11" s="7" customFormat="1" ht="14.4" x14ac:dyDescent="0.3">
      <c r="A95" s="24">
        <v>19</v>
      </c>
      <c r="B95" s="25" t="s">
        <v>114</v>
      </c>
      <c r="C95" s="26">
        <v>19</v>
      </c>
      <c r="D95" s="26">
        <v>12</v>
      </c>
      <c r="E95" s="27">
        <f t="shared" si="12"/>
        <v>63.157894736842103</v>
      </c>
      <c r="F95" s="41">
        <v>47082</v>
      </c>
      <c r="G95" s="26">
        <v>12702</v>
      </c>
      <c r="H95" s="27">
        <f t="shared" si="13"/>
        <v>26.978463106919843</v>
      </c>
      <c r="I95" s="28">
        <v>1025</v>
      </c>
      <c r="J95" s="42" t="s">
        <v>6</v>
      </c>
      <c r="K95" s="13"/>
    </row>
    <row r="96" spans="1:11" s="7" customFormat="1" ht="14.4" x14ac:dyDescent="0.3">
      <c r="A96" s="24">
        <v>20</v>
      </c>
      <c r="B96" s="25" t="s">
        <v>115</v>
      </c>
      <c r="C96" s="26">
        <v>16</v>
      </c>
      <c r="D96" s="26">
        <v>11</v>
      </c>
      <c r="E96" s="27">
        <f t="shared" si="12"/>
        <v>68.75</v>
      </c>
      <c r="F96" s="41">
        <v>39648</v>
      </c>
      <c r="G96" s="26">
        <v>7151</v>
      </c>
      <c r="H96" s="27">
        <f t="shared" si="13"/>
        <v>18.036218724778045</v>
      </c>
      <c r="I96" s="28">
        <v>520</v>
      </c>
      <c r="J96" s="42" t="s">
        <v>6</v>
      </c>
      <c r="K96" s="13"/>
    </row>
    <row r="97" spans="1:11" s="7" customFormat="1" x14ac:dyDescent="0.25">
      <c r="A97" s="24">
        <v>21</v>
      </c>
      <c r="B97" s="25" t="s">
        <v>116</v>
      </c>
      <c r="C97" s="26">
        <v>44</v>
      </c>
      <c r="D97" s="26">
        <v>44</v>
      </c>
      <c r="E97" s="27">
        <f t="shared" si="12"/>
        <v>100</v>
      </c>
      <c r="F97" s="26">
        <v>159486</v>
      </c>
      <c r="G97" s="26">
        <v>158881</v>
      </c>
      <c r="H97" s="27">
        <f t="shared" si="13"/>
        <v>99.620656358551855</v>
      </c>
      <c r="I97" s="26">
        <v>11424</v>
      </c>
      <c r="J97" s="43" t="s">
        <v>11</v>
      </c>
      <c r="K97" s="13"/>
    </row>
    <row r="98" spans="1:11" s="7" customFormat="1" ht="14.4" x14ac:dyDescent="0.3">
      <c r="A98" s="24">
        <v>22</v>
      </c>
      <c r="B98" s="25" t="s">
        <v>117</v>
      </c>
      <c r="C98" s="26">
        <v>55</v>
      </c>
      <c r="D98" s="26">
        <v>42</v>
      </c>
      <c r="E98" s="27">
        <f t="shared" si="12"/>
        <v>76.36363636363636</v>
      </c>
      <c r="F98" s="41">
        <v>202554</v>
      </c>
      <c r="G98" s="26">
        <v>26244</v>
      </c>
      <c r="H98" s="27">
        <f t="shared" si="13"/>
        <v>12.956544921354306</v>
      </c>
      <c r="I98" s="28">
        <v>1589</v>
      </c>
      <c r="J98" s="42" t="s">
        <v>6</v>
      </c>
      <c r="K98" s="13"/>
    </row>
    <row r="99" spans="1:11" s="7" customFormat="1" x14ac:dyDescent="0.25">
      <c r="A99" s="24">
        <v>23</v>
      </c>
      <c r="B99" s="25" t="s">
        <v>118</v>
      </c>
      <c r="C99" s="26">
        <v>27</v>
      </c>
      <c r="D99" s="26">
        <v>27</v>
      </c>
      <c r="E99" s="27">
        <f t="shared" si="12"/>
        <v>100</v>
      </c>
      <c r="F99" s="26">
        <v>106515</v>
      </c>
      <c r="G99" s="26">
        <v>39951</v>
      </c>
      <c r="H99" s="27">
        <f t="shared" si="13"/>
        <v>37.507393324883815</v>
      </c>
      <c r="I99" s="26">
        <v>2511</v>
      </c>
      <c r="J99" s="43" t="s">
        <v>11</v>
      </c>
      <c r="K99" s="13"/>
    </row>
    <row r="100" spans="1:11" s="5" customFormat="1" ht="14.4" thickBot="1" x14ac:dyDescent="0.3">
      <c r="A100" s="30">
        <f>A99-1</f>
        <v>22</v>
      </c>
      <c r="B100" s="31" t="s">
        <v>95</v>
      </c>
      <c r="C100" s="32">
        <f>SUM(C77:C99)</f>
        <v>921</v>
      </c>
      <c r="D100" s="32">
        <f>SUM(D77:D99)</f>
        <v>639</v>
      </c>
      <c r="E100" s="33">
        <f t="shared" si="12"/>
        <v>69.381107491856667</v>
      </c>
      <c r="F100" s="32">
        <f t="shared" ref="F100" si="14">SUM(F77:F99)</f>
        <v>2816903.1255411254</v>
      </c>
      <c r="G100" s="32">
        <f>SUM(G77:G99)</f>
        <v>861673</v>
      </c>
      <c r="H100" s="33">
        <f t="shared" si="13"/>
        <v>30.589372853724715</v>
      </c>
      <c r="I100" s="32">
        <f>SUM(I77:I99)</f>
        <v>51823</v>
      </c>
      <c r="J100" s="34"/>
      <c r="K100" s="13"/>
    </row>
    <row r="101" spans="1:11" ht="5.25" customHeight="1" thickBot="1" x14ac:dyDescent="0.35">
      <c r="A101" s="46"/>
      <c r="B101" s="47"/>
      <c r="C101" s="37"/>
      <c r="D101" s="35"/>
      <c r="E101" s="36"/>
      <c r="F101" s="37"/>
      <c r="G101" s="35"/>
      <c r="H101" s="81"/>
      <c r="I101" s="37"/>
      <c r="J101" s="16"/>
      <c r="K101" s="13"/>
    </row>
    <row r="102" spans="1:11" s="6" customFormat="1" x14ac:dyDescent="0.25">
      <c r="A102" s="19" t="s">
        <v>119</v>
      </c>
      <c r="B102" s="20"/>
      <c r="C102" s="21"/>
      <c r="D102" s="38"/>
      <c r="E102" s="39"/>
      <c r="F102" s="21"/>
      <c r="G102" s="38"/>
      <c r="H102" s="83"/>
      <c r="I102" s="40"/>
      <c r="J102" s="23"/>
      <c r="K102" s="13"/>
    </row>
    <row r="103" spans="1:11" s="7" customFormat="1" x14ac:dyDescent="0.25">
      <c r="A103" s="24">
        <v>1</v>
      </c>
      <c r="B103" s="25" t="s">
        <v>120</v>
      </c>
      <c r="C103" s="41">
        <v>65</v>
      </c>
      <c r="D103" s="41">
        <v>12</v>
      </c>
      <c r="E103" s="27">
        <f t="shared" ref="E103:E108" si="15">D103/C103%</f>
        <v>18.46153846153846</v>
      </c>
      <c r="F103" s="26">
        <v>164849</v>
      </c>
      <c r="G103" s="41">
        <v>16996</v>
      </c>
      <c r="H103" s="27">
        <f t="shared" ref="H103:H108" si="16">G103/F103%</f>
        <v>10.31004131053267</v>
      </c>
      <c r="I103" s="41">
        <v>1359</v>
      </c>
      <c r="J103" s="43" t="s">
        <v>5</v>
      </c>
      <c r="K103" s="13"/>
    </row>
    <row r="104" spans="1:11" x14ac:dyDescent="0.25">
      <c r="A104" s="24">
        <v>1</v>
      </c>
      <c r="B104" s="25" t="s">
        <v>121</v>
      </c>
      <c r="C104" s="26">
        <v>65</v>
      </c>
      <c r="D104" s="26">
        <v>64</v>
      </c>
      <c r="E104" s="27">
        <f t="shared" si="15"/>
        <v>98.461538461538453</v>
      </c>
      <c r="F104" s="26">
        <v>164849</v>
      </c>
      <c r="G104" s="26">
        <v>52538</v>
      </c>
      <c r="H104" s="27">
        <f t="shared" si="16"/>
        <v>31.870378346244138</v>
      </c>
      <c r="I104" s="28">
        <v>3107</v>
      </c>
      <c r="J104" s="29" t="s">
        <v>6</v>
      </c>
      <c r="K104" s="13"/>
    </row>
    <row r="105" spans="1:11" s="7" customFormat="1" x14ac:dyDescent="0.25">
      <c r="A105" s="24">
        <v>2</v>
      </c>
      <c r="B105" s="25" t="s">
        <v>122</v>
      </c>
      <c r="C105" s="26">
        <v>101</v>
      </c>
      <c r="D105" s="26">
        <v>101</v>
      </c>
      <c r="E105" s="27">
        <f t="shared" si="15"/>
        <v>100</v>
      </c>
      <c r="F105" s="41">
        <v>158489</v>
      </c>
      <c r="G105" s="26">
        <v>192909</v>
      </c>
      <c r="H105" s="27">
        <f t="shared" si="16"/>
        <v>121.71759554290833</v>
      </c>
      <c r="I105" s="28">
        <v>14281</v>
      </c>
      <c r="J105" s="43" t="s">
        <v>6</v>
      </c>
      <c r="K105" s="13"/>
    </row>
    <row r="106" spans="1:11" s="7" customFormat="1" x14ac:dyDescent="0.25">
      <c r="A106" s="24">
        <v>3</v>
      </c>
      <c r="B106" s="25" t="s">
        <v>123</v>
      </c>
      <c r="C106" s="26">
        <v>97</v>
      </c>
      <c r="D106" s="26">
        <v>97</v>
      </c>
      <c r="E106" s="27">
        <f t="shared" si="15"/>
        <v>100</v>
      </c>
      <c r="F106" s="41">
        <v>128856</v>
      </c>
      <c r="G106" s="26">
        <v>226415</v>
      </c>
      <c r="H106" s="27">
        <f t="shared" si="16"/>
        <v>175.7116471099522</v>
      </c>
      <c r="I106" s="28">
        <v>15755</v>
      </c>
      <c r="J106" s="43" t="s">
        <v>6</v>
      </c>
      <c r="K106" s="13"/>
    </row>
    <row r="107" spans="1:11" s="7" customFormat="1" x14ac:dyDescent="0.25">
      <c r="A107" s="24">
        <v>4</v>
      </c>
      <c r="B107" s="25" t="s">
        <v>124</v>
      </c>
      <c r="C107" s="26">
        <v>42</v>
      </c>
      <c r="D107" s="26">
        <v>40</v>
      </c>
      <c r="E107" s="27">
        <f t="shared" si="15"/>
        <v>95.238095238095241</v>
      </c>
      <c r="F107" s="41">
        <v>90682.077922077922</v>
      </c>
      <c r="G107" s="26">
        <v>117493</v>
      </c>
      <c r="H107" s="27">
        <f t="shared" si="16"/>
        <v>129.56584442293041</v>
      </c>
      <c r="I107" s="28">
        <v>7737</v>
      </c>
      <c r="J107" s="43" t="s">
        <v>6</v>
      </c>
      <c r="K107" s="13"/>
    </row>
    <row r="108" spans="1:11" s="7" customFormat="1" x14ac:dyDescent="0.25">
      <c r="A108" s="24">
        <v>5</v>
      </c>
      <c r="B108" s="25" t="s">
        <v>125</v>
      </c>
      <c r="C108" s="26">
        <v>65</v>
      </c>
      <c r="D108" s="26">
        <v>60</v>
      </c>
      <c r="E108" s="27">
        <f t="shared" si="15"/>
        <v>92.307692307692307</v>
      </c>
      <c r="F108" s="41">
        <v>88816</v>
      </c>
      <c r="G108" s="26">
        <v>47770</v>
      </c>
      <c r="H108" s="27">
        <f t="shared" si="16"/>
        <v>53.785353990272021</v>
      </c>
      <c r="I108" s="28">
        <v>2658</v>
      </c>
      <c r="J108" s="43" t="s">
        <v>6</v>
      </c>
      <c r="K108" s="13"/>
    </row>
    <row r="109" spans="1:11" s="7" customFormat="1" x14ac:dyDescent="0.25">
      <c r="A109" s="24">
        <v>6</v>
      </c>
      <c r="B109" s="25" t="s">
        <v>228</v>
      </c>
      <c r="C109" s="26">
        <v>42</v>
      </c>
      <c r="D109" s="26">
        <v>0</v>
      </c>
      <c r="E109" s="27">
        <v>0</v>
      </c>
      <c r="F109" s="41">
        <v>0</v>
      </c>
      <c r="G109" s="26">
        <v>0</v>
      </c>
      <c r="H109" s="27">
        <v>0</v>
      </c>
      <c r="I109" s="28">
        <v>0</v>
      </c>
      <c r="J109" s="124">
        <v>0</v>
      </c>
      <c r="K109" s="13"/>
    </row>
    <row r="110" spans="1:11" s="7" customFormat="1" x14ac:dyDescent="0.25">
      <c r="A110" s="24">
        <v>7</v>
      </c>
      <c r="B110" s="25" t="s">
        <v>126</v>
      </c>
      <c r="C110" s="26">
        <v>55</v>
      </c>
      <c r="D110" s="26">
        <v>50</v>
      </c>
      <c r="E110" s="27">
        <f t="shared" ref="E110:E130" si="17">D110/C110%</f>
        <v>90.909090909090907</v>
      </c>
      <c r="F110" s="26">
        <v>208270</v>
      </c>
      <c r="G110" s="26">
        <v>114483</v>
      </c>
      <c r="H110" s="27">
        <f t="shared" ref="H110:H130" si="18">G110/F110%</f>
        <v>54.968550439333562</v>
      </c>
      <c r="I110" s="28">
        <v>8503</v>
      </c>
      <c r="J110" s="43" t="s">
        <v>6</v>
      </c>
      <c r="K110" s="13"/>
    </row>
    <row r="111" spans="1:11" s="7" customFormat="1" x14ac:dyDescent="0.25">
      <c r="A111" s="24">
        <v>7</v>
      </c>
      <c r="B111" s="25" t="s">
        <v>127</v>
      </c>
      <c r="C111" s="26">
        <v>55</v>
      </c>
      <c r="D111" s="26">
        <v>35</v>
      </c>
      <c r="E111" s="27">
        <f t="shared" si="17"/>
        <v>63.636363636363633</v>
      </c>
      <c r="F111" s="26">
        <v>208270</v>
      </c>
      <c r="G111" s="26">
        <v>19909</v>
      </c>
      <c r="H111" s="27">
        <f t="shared" si="18"/>
        <v>9.5592260047054314</v>
      </c>
      <c r="I111" s="26">
        <v>1266</v>
      </c>
      <c r="J111" s="43" t="s">
        <v>7</v>
      </c>
      <c r="K111" s="13"/>
    </row>
    <row r="112" spans="1:11" s="7" customFormat="1" x14ac:dyDescent="0.25">
      <c r="A112" s="24">
        <v>8</v>
      </c>
      <c r="B112" s="25" t="s">
        <v>128</v>
      </c>
      <c r="C112" s="26">
        <v>71</v>
      </c>
      <c r="D112" s="26">
        <v>71</v>
      </c>
      <c r="E112" s="27">
        <f t="shared" si="17"/>
        <v>100</v>
      </c>
      <c r="F112" s="26">
        <v>121639.04761904762</v>
      </c>
      <c r="G112" s="26">
        <v>46013</v>
      </c>
      <c r="H112" s="27">
        <f t="shared" si="18"/>
        <v>37.827491172164329</v>
      </c>
      <c r="I112" s="26">
        <v>3057</v>
      </c>
      <c r="J112" s="43" t="s">
        <v>7</v>
      </c>
      <c r="K112" s="13"/>
    </row>
    <row r="113" spans="1:11" s="7" customFormat="1" x14ac:dyDescent="0.25">
      <c r="A113" s="24">
        <v>9</v>
      </c>
      <c r="B113" s="25" t="s">
        <v>129</v>
      </c>
      <c r="C113" s="26">
        <v>97</v>
      </c>
      <c r="D113" s="26">
        <v>68</v>
      </c>
      <c r="E113" s="27">
        <f t="shared" si="17"/>
        <v>70.103092783505161</v>
      </c>
      <c r="F113" s="26">
        <v>47026</v>
      </c>
      <c r="G113" s="26">
        <v>39007</v>
      </c>
      <c r="H113" s="27">
        <f t="shared" si="18"/>
        <v>82.947731042402083</v>
      </c>
      <c r="I113" s="26">
        <v>2356</v>
      </c>
      <c r="J113" s="43" t="s">
        <v>7</v>
      </c>
      <c r="K113" s="13"/>
    </row>
    <row r="114" spans="1:11" s="7" customFormat="1" x14ac:dyDescent="0.25">
      <c r="A114" s="24">
        <v>10</v>
      </c>
      <c r="B114" s="25" t="s">
        <v>130</v>
      </c>
      <c r="C114" s="26">
        <v>87</v>
      </c>
      <c r="D114" s="26">
        <v>37</v>
      </c>
      <c r="E114" s="27">
        <f t="shared" si="17"/>
        <v>42.52873563218391</v>
      </c>
      <c r="F114" s="26">
        <v>111973</v>
      </c>
      <c r="G114" s="26">
        <v>21609</v>
      </c>
      <c r="H114" s="27">
        <f t="shared" si="18"/>
        <v>19.298402293410017</v>
      </c>
      <c r="I114" s="26">
        <v>1552</v>
      </c>
      <c r="J114" s="43" t="s">
        <v>7</v>
      </c>
      <c r="K114" s="13"/>
    </row>
    <row r="115" spans="1:11" s="7" customFormat="1" x14ac:dyDescent="0.25">
      <c r="A115" s="24">
        <v>11</v>
      </c>
      <c r="B115" s="25" t="s">
        <v>131</v>
      </c>
      <c r="C115" s="26">
        <v>40</v>
      </c>
      <c r="D115" s="26">
        <v>15</v>
      </c>
      <c r="E115" s="27">
        <f t="shared" si="17"/>
        <v>37.5</v>
      </c>
      <c r="F115" s="26">
        <v>164715</v>
      </c>
      <c r="G115" s="26">
        <v>16077</v>
      </c>
      <c r="H115" s="27">
        <f t="shared" si="18"/>
        <v>9.7604954011474359</v>
      </c>
      <c r="I115" s="26">
        <v>1111</v>
      </c>
      <c r="J115" s="43" t="s">
        <v>7</v>
      </c>
      <c r="K115" s="13"/>
    </row>
    <row r="116" spans="1:11" s="7" customFormat="1" x14ac:dyDescent="0.25">
      <c r="A116" s="24">
        <v>12</v>
      </c>
      <c r="B116" s="25" t="s">
        <v>132</v>
      </c>
      <c r="C116" s="26">
        <v>79</v>
      </c>
      <c r="D116" s="26">
        <v>21</v>
      </c>
      <c r="E116" s="27">
        <f t="shared" si="17"/>
        <v>26.582278481012658</v>
      </c>
      <c r="F116" s="26">
        <v>141671</v>
      </c>
      <c r="G116" s="26">
        <v>21292</v>
      </c>
      <c r="H116" s="27">
        <f t="shared" si="18"/>
        <v>15.029187342504818</v>
      </c>
      <c r="I116" s="26">
        <v>1491</v>
      </c>
      <c r="J116" s="43" t="s">
        <v>7</v>
      </c>
      <c r="K116" s="13"/>
    </row>
    <row r="117" spans="1:11" s="7" customFormat="1" x14ac:dyDescent="0.25">
      <c r="A117" s="24">
        <v>13</v>
      </c>
      <c r="B117" s="25" t="s">
        <v>133</v>
      </c>
      <c r="C117" s="26">
        <v>50</v>
      </c>
      <c r="D117" s="26">
        <v>35</v>
      </c>
      <c r="E117" s="27">
        <f t="shared" si="17"/>
        <v>70</v>
      </c>
      <c r="F117" s="41">
        <v>128408</v>
      </c>
      <c r="G117" s="26">
        <v>21894</v>
      </c>
      <c r="H117" s="27">
        <f t="shared" si="18"/>
        <v>17.050339542707622</v>
      </c>
      <c r="I117" s="28">
        <v>1235</v>
      </c>
      <c r="J117" s="43" t="s">
        <v>6</v>
      </c>
      <c r="K117" s="13"/>
    </row>
    <row r="118" spans="1:11" s="7" customFormat="1" x14ac:dyDescent="0.25">
      <c r="A118" s="24">
        <v>14</v>
      </c>
      <c r="B118" s="25" t="s">
        <v>134</v>
      </c>
      <c r="C118" s="26">
        <v>89</v>
      </c>
      <c r="D118" s="26">
        <v>7</v>
      </c>
      <c r="E118" s="27">
        <f t="shared" si="17"/>
        <v>7.8651685393258424</v>
      </c>
      <c r="F118" s="26">
        <v>122340</v>
      </c>
      <c r="G118" s="26">
        <v>8768</v>
      </c>
      <c r="H118" s="27">
        <f t="shared" si="18"/>
        <v>7.1669118849109035</v>
      </c>
      <c r="I118" s="26">
        <v>691</v>
      </c>
      <c r="J118" s="43" t="s">
        <v>7</v>
      </c>
      <c r="K118" s="13"/>
    </row>
    <row r="119" spans="1:11" s="7" customFormat="1" x14ac:dyDescent="0.25">
      <c r="A119" s="24">
        <v>15</v>
      </c>
      <c r="B119" s="25" t="s">
        <v>135</v>
      </c>
      <c r="C119" s="26">
        <v>98</v>
      </c>
      <c r="D119" s="26">
        <v>11</v>
      </c>
      <c r="E119" s="27">
        <f t="shared" si="17"/>
        <v>11.224489795918368</v>
      </c>
      <c r="F119" s="26">
        <v>122340</v>
      </c>
      <c r="G119" s="26">
        <v>20487</v>
      </c>
      <c r="H119" s="27">
        <f t="shared" si="18"/>
        <v>16.745953898970082</v>
      </c>
      <c r="I119" s="26">
        <v>1240</v>
      </c>
      <c r="J119" s="43" t="s">
        <v>7</v>
      </c>
      <c r="K119" s="13"/>
    </row>
    <row r="120" spans="1:11" x14ac:dyDescent="0.25">
      <c r="A120" s="24">
        <v>15</v>
      </c>
      <c r="B120" s="25" t="s">
        <v>136</v>
      </c>
      <c r="C120" s="26">
        <v>98</v>
      </c>
      <c r="D120" s="26">
        <v>70</v>
      </c>
      <c r="E120" s="27">
        <f t="shared" si="17"/>
        <v>71.428571428571431</v>
      </c>
      <c r="F120" s="26">
        <v>78458</v>
      </c>
      <c r="G120" s="26">
        <v>17775</v>
      </c>
      <c r="H120" s="27">
        <f t="shared" si="18"/>
        <v>22.655433480333425</v>
      </c>
      <c r="I120" s="28">
        <v>1662</v>
      </c>
      <c r="J120" s="29" t="s">
        <v>6</v>
      </c>
      <c r="K120" s="13"/>
    </row>
    <row r="121" spans="1:11" s="7" customFormat="1" x14ac:dyDescent="0.25">
      <c r="A121" s="24">
        <v>16</v>
      </c>
      <c r="B121" s="25" t="s">
        <v>137</v>
      </c>
      <c r="C121" s="26">
        <v>49</v>
      </c>
      <c r="D121" s="26">
        <v>45</v>
      </c>
      <c r="E121" s="27">
        <f t="shared" si="17"/>
        <v>91.83673469387756</v>
      </c>
      <c r="F121" s="41">
        <v>47082</v>
      </c>
      <c r="G121" s="26">
        <v>106791</v>
      </c>
      <c r="H121" s="27">
        <f t="shared" si="18"/>
        <v>226.81916656046897</v>
      </c>
      <c r="I121" s="28">
        <v>6262</v>
      </c>
      <c r="J121" s="43" t="s">
        <v>6</v>
      </c>
      <c r="K121" s="13"/>
    </row>
    <row r="122" spans="1:11" s="7" customFormat="1" x14ac:dyDescent="0.25">
      <c r="A122" s="24">
        <v>17</v>
      </c>
      <c r="B122" s="25" t="s">
        <v>138</v>
      </c>
      <c r="C122" s="26">
        <v>30</v>
      </c>
      <c r="D122" s="26">
        <v>27</v>
      </c>
      <c r="E122" s="27">
        <f t="shared" si="17"/>
        <v>90</v>
      </c>
      <c r="F122" s="26">
        <v>39648</v>
      </c>
      <c r="G122" s="26">
        <v>33814</v>
      </c>
      <c r="H122" s="27">
        <f t="shared" si="18"/>
        <v>85.285512510088779</v>
      </c>
      <c r="I122" s="26">
        <v>2130</v>
      </c>
      <c r="J122" s="43" t="s">
        <v>7</v>
      </c>
      <c r="K122" s="13"/>
    </row>
    <row r="123" spans="1:11" s="7" customFormat="1" x14ac:dyDescent="0.25">
      <c r="A123" s="24">
        <v>18</v>
      </c>
      <c r="B123" s="25" t="s">
        <v>139</v>
      </c>
      <c r="C123" s="26">
        <v>44</v>
      </c>
      <c r="D123" s="26">
        <v>31</v>
      </c>
      <c r="E123" s="27">
        <f t="shared" si="17"/>
        <v>70.454545454545453</v>
      </c>
      <c r="F123" s="26">
        <v>159486</v>
      </c>
      <c r="G123" s="26">
        <v>71050</v>
      </c>
      <c r="H123" s="27">
        <f t="shared" si="18"/>
        <v>44.549364834530934</v>
      </c>
      <c r="I123" s="26">
        <v>4893</v>
      </c>
      <c r="J123" s="43" t="s">
        <v>7</v>
      </c>
      <c r="K123" s="13"/>
    </row>
    <row r="124" spans="1:11" s="7" customFormat="1" x14ac:dyDescent="0.25">
      <c r="A124" s="24">
        <v>19</v>
      </c>
      <c r="B124" s="25" t="s">
        <v>140</v>
      </c>
      <c r="C124" s="26">
        <v>70</v>
      </c>
      <c r="D124" s="26">
        <v>70</v>
      </c>
      <c r="E124" s="27">
        <f t="shared" si="17"/>
        <v>100</v>
      </c>
      <c r="F124" s="41">
        <v>202554</v>
      </c>
      <c r="G124" s="26">
        <v>46705</v>
      </c>
      <c r="H124" s="27">
        <f t="shared" si="18"/>
        <v>23.058048717872765</v>
      </c>
      <c r="I124" s="28">
        <v>3886</v>
      </c>
      <c r="J124" s="43" t="s">
        <v>6</v>
      </c>
      <c r="K124" s="13"/>
    </row>
    <row r="125" spans="1:11" s="7" customFormat="1" x14ac:dyDescent="0.25">
      <c r="A125" s="24">
        <v>20</v>
      </c>
      <c r="B125" s="25" t="s">
        <v>141</v>
      </c>
      <c r="C125" s="26">
        <v>65</v>
      </c>
      <c r="D125" s="26">
        <v>46</v>
      </c>
      <c r="E125" s="27">
        <f t="shared" si="17"/>
        <v>70.769230769230774</v>
      </c>
      <c r="F125" s="26">
        <v>106515</v>
      </c>
      <c r="G125" s="26">
        <v>23466</v>
      </c>
      <c r="H125" s="27">
        <f t="shared" si="18"/>
        <v>22.030699901422334</v>
      </c>
      <c r="I125" s="26">
        <v>1656</v>
      </c>
      <c r="J125" s="43" t="s">
        <v>7</v>
      </c>
      <c r="K125" s="13"/>
    </row>
    <row r="126" spans="1:11" s="7" customFormat="1" x14ac:dyDescent="0.25">
      <c r="A126" s="24">
        <v>21</v>
      </c>
      <c r="B126" s="25" t="s">
        <v>142</v>
      </c>
      <c r="C126" s="26">
        <v>53</v>
      </c>
      <c r="D126" s="26">
        <v>42</v>
      </c>
      <c r="E126" s="27">
        <f t="shared" si="17"/>
        <v>79.245283018867923</v>
      </c>
      <c r="F126" s="41">
        <v>120486</v>
      </c>
      <c r="G126" s="26">
        <v>52665</v>
      </c>
      <c r="H126" s="27">
        <f t="shared" si="18"/>
        <v>43.710472586026597</v>
      </c>
      <c r="I126" s="28">
        <v>3019</v>
      </c>
      <c r="J126" s="43" t="s">
        <v>6</v>
      </c>
      <c r="K126" s="13"/>
    </row>
    <row r="127" spans="1:11" s="7" customFormat="1" x14ac:dyDescent="0.25">
      <c r="A127" s="24">
        <v>22</v>
      </c>
      <c r="B127" s="25" t="s">
        <v>143</v>
      </c>
      <c r="C127" s="26">
        <v>69</v>
      </c>
      <c r="D127" s="26">
        <v>22</v>
      </c>
      <c r="E127" s="27">
        <f t="shared" si="17"/>
        <v>31.884057971014496</v>
      </c>
      <c r="F127" s="26">
        <v>261678</v>
      </c>
      <c r="G127" s="26">
        <v>35212</v>
      </c>
      <c r="H127" s="27">
        <f t="shared" si="18"/>
        <v>13.456232468912173</v>
      </c>
      <c r="I127" s="26">
        <v>2388</v>
      </c>
      <c r="J127" s="43" t="s">
        <v>7</v>
      </c>
      <c r="K127" s="13"/>
    </row>
    <row r="128" spans="1:11" x14ac:dyDescent="0.25">
      <c r="A128" s="24">
        <v>22</v>
      </c>
      <c r="B128" s="25" t="s">
        <v>144</v>
      </c>
      <c r="C128" s="26">
        <v>69</v>
      </c>
      <c r="D128" s="26">
        <v>58</v>
      </c>
      <c r="E128" s="27">
        <f t="shared" si="17"/>
        <v>84.057971014492765</v>
      </c>
      <c r="F128" s="26">
        <v>261678</v>
      </c>
      <c r="G128" s="26">
        <v>17654</v>
      </c>
      <c r="H128" s="27">
        <f t="shared" si="18"/>
        <v>6.7464593890200932</v>
      </c>
      <c r="I128" s="28">
        <v>1958</v>
      </c>
      <c r="J128" s="29" t="s">
        <v>6</v>
      </c>
      <c r="K128" s="13"/>
    </row>
    <row r="129" spans="1:11" s="7" customFormat="1" x14ac:dyDescent="0.25">
      <c r="A129" s="24">
        <v>23</v>
      </c>
      <c r="B129" s="25" t="s">
        <v>145</v>
      </c>
      <c r="C129" s="26">
        <v>93</v>
      </c>
      <c r="D129" s="26">
        <v>80</v>
      </c>
      <c r="E129" s="27">
        <f t="shared" si="17"/>
        <v>86.021505376344081</v>
      </c>
      <c r="F129" s="26">
        <v>317647</v>
      </c>
      <c r="G129" s="26">
        <v>85324</v>
      </c>
      <c r="H129" s="27">
        <f t="shared" si="18"/>
        <v>26.861264233567454</v>
      </c>
      <c r="I129" s="26">
        <v>5512</v>
      </c>
      <c r="J129" s="43" t="s">
        <v>7</v>
      </c>
      <c r="K129" s="13"/>
    </row>
    <row r="130" spans="1:11" x14ac:dyDescent="0.25">
      <c r="A130" s="24">
        <v>23</v>
      </c>
      <c r="B130" s="25" t="s">
        <v>146</v>
      </c>
      <c r="C130" s="26">
        <v>93</v>
      </c>
      <c r="D130" s="26">
        <v>24</v>
      </c>
      <c r="E130" s="27">
        <f t="shared" si="17"/>
        <v>25.806451612903224</v>
      </c>
      <c r="F130" s="26">
        <v>317647</v>
      </c>
      <c r="G130" s="26">
        <v>0</v>
      </c>
      <c r="H130" s="27">
        <f t="shared" si="18"/>
        <v>0</v>
      </c>
      <c r="I130" s="28">
        <v>0</v>
      </c>
      <c r="J130" s="29" t="s">
        <v>6</v>
      </c>
      <c r="K130" s="13"/>
    </row>
    <row r="131" spans="1:11" x14ac:dyDescent="0.25">
      <c r="A131" s="24">
        <v>24</v>
      </c>
      <c r="B131" s="25" t="s">
        <v>229</v>
      </c>
      <c r="C131" s="26">
        <v>65</v>
      </c>
      <c r="D131" s="26">
        <v>0</v>
      </c>
      <c r="E131" s="27">
        <v>0</v>
      </c>
      <c r="F131" s="26">
        <v>0</v>
      </c>
      <c r="G131" s="26">
        <v>0</v>
      </c>
      <c r="H131" s="27">
        <v>0</v>
      </c>
      <c r="I131" s="28">
        <v>0</v>
      </c>
      <c r="J131" s="124">
        <v>0</v>
      </c>
      <c r="K131" s="13"/>
    </row>
    <row r="132" spans="1:11" s="7" customFormat="1" x14ac:dyDescent="0.25">
      <c r="A132" s="24">
        <v>25</v>
      </c>
      <c r="B132" s="25" t="s">
        <v>147</v>
      </c>
      <c r="C132" s="26">
        <v>74</v>
      </c>
      <c r="D132" s="26">
        <v>61</v>
      </c>
      <c r="E132" s="27">
        <f t="shared" ref="E132:E148" si="19">D132/C132%</f>
        <v>82.432432432432435</v>
      </c>
      <c r="F132" s="26">
        <v>150406</v>
      </c>
      <c r="G132" s="26">
        <v>65402</v>
      </c>
      <c r="H132" s="27">
        <f t="shared" ref="H132:H148" si="20">G132/F132%</f>
        <v>43.483637620839595</v>
      </c>
      <c r="I132" s="26">
        <v>3216</v>
      </c>
      <c r="J132" s="43" t="s">
        <v>7</v>
      </c>
      <c r="K132" s="13"/>
    </row>
    <row r="133" spans="1:11" s="7" customFormat="1" x14ac:dyDescent="0.25">
      <c r="A133" s="24">
        <v>26</v>
      </c>
      <c r="B133" s="25" t="s">
        <v>148</v>
      </c>
      <c r="C133" s="26">
        <v>111</v>
      </c>
      <c r="D133" s="26">
        <v>25</v>
      </c>
      <c r="E133" s="27">
        <f t="shared" si="19"/>
        <v>22.522522522522522</v>
      </c>
      <c r="F133" s="26">
        <v>270191</v>
      </c>
      <c r="G133" s="26">
        <v>24660</v>
      </c>
      <c r="H133" s="27">
        <f t="shared" si="20"/>
        <v>9.1268769129985827</v>
      </c>
      <c r="I133" s="26">
        <v>1578</v>
      </c>
      <c r="J133" s="43" t="s">
        <v>7</v>
      </c>
      <c r="K133" s="13"/>
    </row>
    <row r="134" spans="1:11" s="7" customFormat="1" x14ac:dyDescent="0.25">
      <c r="A134" s="24">
        <v>27</v>
      </c>
      <c r="B134" s="25" t="s">
        <v>149</v>
      </c>
      <c r="C134" s="26">
        <v>63</v>
      </c>
      <c r="D134" s="26">
        <v>17</v>
      </c>
      <c r="E134" s="27">
        <f t="shared" si="19"/>
        <v>26.984126984126984</v>
      </c>
      <c r="F134" s="26">
        <v>174888</v>
      </c>
      <c r="G134" s="26">
        <v>17233</v>
      </c>
      <c r="H134" s="27">
        <f t="shared" si="20"/>
        <v>9.8537349618041254</v>
      </c>
      <c r="I134" s="26">
        <f>17602-11228</f>
        <v>6374</v>
      </c>
      <c r="J134" s="43" t="s">
        <v>7</v>
      </c>
      <c r="K134" s="13"/>
    </row>
    <row r="135" spans="1:11" x14ac:dyDescent="0.25">
      <c r="A135" s="24">
        <v>27</v>
      </c>
      <c r="B135" s="25" t="s">
        <v>150</v>
      </c>
      <c r="C135" s="26">
        <v>63</v>
      </c>
      <c r="D135" s="26">
        <v>54</v>
      </c>
      <c r="E135" s="27">
        <f t="shared" si="19"/>
        <v>85.714285714285708</v>
      </c>
      <c r="F135" s="26">
        <v>174888</v>
      </c>
      <c r="G135" s="26">
        <v>12295</v>
      </c>
      <c r="H135" s="27">
        <f t="shared" si="20"/>
        <v>7.0302136224326421</v>
      </c>
      <c r="I135" s="28">
        <v>1486</v>
      </c>
      <c r="J135" s="29" t="s">
        <v>6</v>
      </c>
      <c r="K135" s="13"/>
    </row>
    <row r="136" spans="1:11" s="7" customFormat="1" x14ac:dyDescent="0.25">
      <c r="A136" s="24">
        <v>28</v>
      </c>
      <c r="B136" s="25" t="s">
        <v>151</v>
      </c>
      <c r="C136" s="26">
        <v>103</v>
      </c>
      <c r="D136" s="26">
        <v>103</v>
      </c>
      <c r="E136" s="27">
        <f t="shared" si="19"/>
        <v>100</v>
      </c>
      <c r="F136" s="41">
        <v>338677</v>
      </c>
      <c r="G136" s="26">
        <v>62559</v>
      </c>
      <c r="H136" s="27">
        <f t="shared" si="20"/>
        <v>18.471582067869978</v>
      </c>
      <c r="I136" s="28">
        <v>5948</v>
      </c>
      <c r="J136" s="43" t="s">
        <v>6</v>
      </c>
      <c r="K136" s="13"/>
    </row>
    <row r="137" spans="1:11" s="7" customFormat="1" x14ac:dyDescent="0.25">
      <c r="A137" s="24">
        <v>29</v>
      </c>
      <c r="B137" s="25" t="s">
        <v>152</v>
      </c>
      <c r="C137" s="26">
        <v>44</v>
      </c>
      <c r="D137" s="26">
        <v>43</v>
      </c>
      <c r="E137" s="27">
        <f t="shared" si="19"/>
        <v>97.727272727272734</v>
      </c>
      <c r="F137" s="41">
        <v>133182</v>
      </c>
      <c r="G137" s="26">
        <v>83680</v>
      </c>
      <c r="H137" s="27">
        <f t="shared" si="20"/>
        <v>62.831313540868891</v>
      </c>
      <c r="I137" s="28">
        <v>5832</v>
      </c>
      <c r="J137" s="43" t="s">
        <v>6</v>
      </c>
      <c r="K137" s="13"/>
    </row>
    <row r="138" spans="1:11" s="7" customFormat="1" x14ac:dyDescent="0.25">
      <c r="A138" s="24">
        <v>29</v>
      </c>
      <c r="B138" s="25" t="s">
        <v>153</v>
      </c>
      <c r="C138" s="26">
        <v>44</v>
      </c>
      <c r="D138" s="26">
        <v>33</v>
      </c>
      <c r="E138" s="27">
        <f t="shared" si="19"/>
        <v>75</v>
      </c>
      <c r="F138" s="26">
        <v>133182</v>
      </c>
      <c r="G138" s="26">
        <v>18330</v>
      </c>
      <c r="H138" s="27">
        <f t="shared" si="20"/>
        <v>13.763121142496734</v>
      </c>
      <c r="I138" s="26">
        <v>1197</v>
      </c>
      <c r="J138" s="43" t="s">
        <v>7</v>
      </c>
      <c r="K138" s="13"/>
    </row>
    <row r="139" spans="1:11" s="7" customFormat="1" x14ac:dyDescent="0.25">
      <c r="A139" s="24">
        <v>30</v>
      </c>
      <c r="B139" s="25" t="s">
        <v>154</v>
      </c>
      <c r="C139" s="26">
        <v>58</v>
      </c>
      <c r="D139" s="26">
        <v>58</v>
      </c>
      <c r="E139" s="27">
        <f t="shared" si="19"/>
        <v>100</v>
      </c>
      <c r="F139" s="41">
        <v>256911</v>
      </c>
      <c r="G139" s="26">
        <v>65058</v>
      </c>
      <c r="H139" s="27">
        <f t="shared" si="20"/>
        <v>25.323166388360171</v>
      </c>
      <c r="I139" s="28">
        <v>4153</v>
      </c>
      <c r="J139" s="43" t="s">
        <v>6</v>
      </c>
      <c r="K139" s="13"/>
    </row>
    <row r="140" spans="1:11" s="7" customFormat="1" x14ac:dyDescent="0.25">
      <c r="A140" s="24">
        <v>31</v>
      </c>
      <c r="B140" s="25" t="s">
        <v>155</v>
      </c>
      <c r="C140" s="26">
        <v>83</v>
      </c>
      <c r="D140" s="26">
        <v>39</v>
      </c>
      <c r="E140" s="27">
        <f t="shared" si="19"/>
        <v>46.987951807228917</v>
      </c>
      <c r="F140" s="26">
        <v>227413</v>
      </c>
      <c r="G140" s="26">
        <v>33383</v>
      </c>
      <c r="H140" s="27">
        <f t="shared" si="20"/>
        <v>14.679459837388363</v>
      </c>
      <c r="I140" s="26">
        <v>2065</v>
      </c>
      <c r="J140" s="43" t="s">
        <v>7</v>
      </c>
      <c r="K140" s="13"/>
    </row>
    <row r="141" spans="1:11" x14ac:dyDescent="0.25">
      <c r="A141" s="24">
        <v>31</v>
      </c>
      <c r="B141" s="25" t="s">
        <v>156</v>
      </c>
      <c r="C141" s="26">
        <v>83</v>
      </c>
      <c r="D141" s="26">
        <v>52</v>
      </c>
      <c r="E141" s="27">
        <f t="shared" si="19"/>
        <v>62.650602409638559</v>
      </c>
      <c r="F141" s="26">
        <v>227413</v>
      </c>
      <c r="G141" s="26">
        <v>12414</v>
      </c>
      <c r="H141" s="27">
        <f t="shared" si="20"/>
        <v>5.4587908342970719</v>
      </c>
      <c r="I141" s="28">
        <v>1201</v>
      </c>
      <c r="J141" s="29" t="s">
        <v>6</v>
      </c>
      <c r="K141" s="13"/>
    </row>
    <row r="142" spans="1:11" s="7" customFormat="1" x14ac:dyDescent="0.25">
      <c r="A142" s="24">
        <v>32</v>
      </c>
      <c r="B142" s="25" t="s">
        <v>157</v>
      </c>
      <c r="C142" s="26">
        <v>132</v>
      </c>
      <c r="D142" s="26">
        <v>57</v>
      </c>
      <c r="E142" s="27">
        <f t="shared" si="19"/>
        <v>43.18181818181818</v>
      </c>
      <c r="F142" s="26">
        <v>303958</v>
      </c>
      <c r="G142" s="26">
        <v>37000</v>
      </c>
      <c r="H142" s="27">
        <f t="shared" si="20"/>
        <v>12.17273439093559</v>
      </c>
      <c r="I142" s="26">
        <v>2349</v>
      </c>
      <c r="J142" s="43" t="s">
        <v>7</v>
      </c>
      <c r="K142" s="13"/>
    </row>
    <row r="143" spans="1:11" s="7" customFormat="1" x14ac:dyDescent="0.25">
      <c r="A143" s="24">
        <v>33</v>
      </c>
      <c r="B143" s="25" t="s">
        <v>158</v>
      </c>
      <c r="C143" s="26">
        <v>91</v>
      </c>
      <c r="D143" s="26">
        <v>9</v>
      </c>
      <c r="E143" s="27">
        <f t="shared" si="19"/>
        <v>9.8901098901098905</v>
      </c>
      <c r="F143" s="26">
        <v>207804.73300000001</v>
      </c>
      <c r="G143" s="26">
        <v>16474</v>
      </c>
      <c r="H143" s="27">
        <f t="shared" si="20"/>
        <v>7.9276346415074199</v>
      </c>
      <c r="I143" s="26">
        <v>1107</v>
      </c>
      <c r="J143" s="43" t="s">
        <v>7</v>
      </c>
      <c r="K143" s="13"/>
    </row>
    <row r="144" spans="1:11" s="7" customFormat="1" x14ac:dyDescent="0.25">
      <c r="A144" s="24">
        <v>34</v>
      </c>
      <c r="B144" s="25" t="s">
        <v>159</v>
      </c>
      <c r="C144" s="26">
        <v>94</v>
      </c>
      <c r="D144" s="26">
        <v>89</v>
      </c>
      <c r="E144" s="27">
        <f t="shared" si="19"/>
        <v>94.680851063829792</v>
      </c>
      <c r="F144" s="26">
        <v>275204</v>
      </c>
      <c r="G144" s="26">
        <v>101071</v>
      </c>
      <c r="H144" s="27">
        <f t="shared" si="20"/>
        <v>36.725847008037675</v>
      </c>
      <c r="I144" s="26">
        <v>4695</v>
      </c>
      <c r="J144" s="43" t="s">
        <v>7</v>
      </c>
      <c r="K144" s="13"/>
    </row>
    <row r="145" spans="1:11" s="7" customFormat="1" x14ac:dyDescent="0.25">
      <c r="A145" s="24">
        <v>35</v>
      </c>
      <c r="B145" s="25" t="s">
        <v>160</v>
      </c>
      <c r="C145" s="26">
        <v>79</v>
      </c>
      <c r="D145" s="26">
        <v>22</v>
      </c>
      <c r="E145" s="27">
        <f t="shared" si="19"/>
        <v>27.848101265822784</v>
      </c>
      <c r="F145" s="26">
        <v>187555</v>
      </c>
      <c r="G145" s="26">
        <v>27713</v>
      </c>
      <c r="H145" s="27">
        <f t="shared" si="20"/>
        <v>14.775932393164672</v>
      </c>
      <c r="I145" s="26">
        <v>1874</v>
      </c>
      <c r="J145" s="43" t="s">
        <v>7</v>
      </c>
      <c r="K145" s="13"/>
    </row>
    <row r="146" spans="1:11" x14ac:dyDescent="0.25">
      <c r="A146" s="24">
        <v>35</v>
      </c>
      <c r="B146" s="25" t="s">
        <v>161</v>
      </c>
      <c r="C146" s="26">
        <v>79</v>
      </c>
      <c r="D146" s="26">
        <v>61</v>
      </c>
      <c r="E146" s="27">
        <f t="shared" si="19"/>
        <v>77.215189873417714</v>
      </c>
      <c r="F146" s="26">
        <v>187555</v>
      </c>
      <c r="G146" s="26">
        <v>13594</v>
      </c>
      <c r="H146" s="27">
        <f t="shared" si="20"/>
        <v>7.248007251206313</v>
      </c>
      <c r="I146" s="28">
        <v>1545</v>
      </c>
      <c r="J146" s="29" t="s">
        <v>6</v>
      </c>
      <c r="K146" s="13"/>
    </row>
    <row r="147" spans="1:11" s="7" customFormat="1" x14ac:dyDescent="0.25">
      <c r="A147" s="24">
        <v>36</v>
      </c>
      <c r="B147" s="25" t="s">
        <v>162</v>
      </c>
      <c r="C147" s="26">
        <v>87</v>
      </c>
      <c r="D147" s="26">
        <v>80</v>
      </c>
      <c r="E147" s="27">
        <f t="shared" si="19"/>
        <v>91.954022988505741</v>
      </c>
      <c r="F147" s="41">
        <v>257583</v>
      </c>
      <c r="G147" s="26">
        <v>39089</v>
      </c>
      <c r="H147" s="27">
        <f t="shared" si="20"/>
        <v>15.175302717958871</v>
      </c>
      <c r="I147" s="28">
        <v>3149</v>
      </c>
      <c r="J147" s="43" t="s">
        <v>6</v>
      </c>
      <c r="K147" s="13"/>
    </row>
    <row r="148" spans="1:11" s="5" customFormat="1" ht="14.4" thickBot="1" x14ac:dyDescent="0.3">
      <c r="A148" s="30">
        <v>34</v>
      </c>
      <c r="B148" s="31" t="s">
        <v>95</v>
      </c>
      <c r="C148" s="32">
        <f>SUM(C103:C147)-(C103+C111+C119+C127+C130+C134+C138+C140+C145)</f>
        <v>2635</v>
      </c>
      <c r="D148" s="32">
        <f>SUM(D103:D147)-(D103+D111+D119+D127+D130+D134+D138+D140+D145)</f>
        <v>1827</v>
      </c>
      <c r="E148" s="33">
        <f t="shared" si="19"/>
        <v>69.335863377609101</v>
      </c>
      <c r="F148" s="32">
        <f>SUM(F103:F147)-(F103+F111+F119+F127+F130+F134+F138+F140+F145)</f>
        <v>5795060.8585411254</v>
      </c>
      <c r="G148" s="32">
        <f>SUM(G103:G147)</f>
        <v>2104071</v>
      </c>
      <c r="H148" s="33">
        <f t="shared" si="20"/>
        <v>36.308005236888718</v>
      </c>
      <c r="I148" s="32">
        <f>SUM(I103:I147)</f>
        <v>148534</v>
      </c>
      <c r="J148" s="34"/>
      <c r="K148" s="13"/>
    </row>
    <row r="149" spans="1:11" ht="8.25" customHeight="1" thickBot="1" x14ac:dyDescent="0.35">
      <c r="A149" s="46"/>
      <c r="B149" s="47"/>
      <c r="C149" s="37"/>
      <c r="D149" s="35"/>
      <c r="E149" s="36"/>
      <c r="F149" s="37"/>
      <c r="G149" s="35"/>
      <c r="H149" s="81"/>
      <c r="I149" s="37"/>
      <c r="J149" s="16"/>
      <c r="K149" s="13"/>
    </row>
    <row r="150" spans="1:11" s="6" customFormat="1" x14ac:dyDescent="0.25">
      <c r="A150" s="19" t="s">
        <v>163</v>
      </c>
      <c r="B150" s="20"/>
      <c r="C150" s="21"/>
      <c r="D150" s="38"/>
      <c r="E150" s="39"/>
      <c r="F150" s="21"/>
      <c r="G150" s="38"/>
      <c r="H150" s="83"/>
      <c r="I150" s="40"/>
      <c r="J150" s="23"/>
      <c r="K150" s="13"/>
    </row>
    <row r="151" spans="1:11" s="7" customFormat="1" x14ac:dyDescent="0.25">
      <c r="A151" s="24">
        <v>1</v>
      </c>
      <c r="B151" s="25" t="s">
        <v>164</v>
      </c>
      <c r="C151" s="26">
        <v>19</v>
      </c>
      <c r="D151" s="26">
        <v>19</v>
      </c>
      <c r="E151" s="27">
        <f t="shared" ref="E151:E166" si="21">D151/C151%</f>
        <v>100</v>
      </c>
      <c r="F151" s="41">
        <v>46469.594594594593</v>
      </c>
      <c r="G151" s="26">
        <v>20282</v>
      </c>
      <c r="H151" s="27">
        <f t="shared" ref="H151:H166" si="22">G151/F151%</f>
        <v>43.645743366048713</v>
      </c>
      <c r="I151" s="28">
        <v>1048</v>
      </c>
      <c r="J151" s="43" t="s">
        <v>6</v>
      </c>
      <c r="K151" s="13"/>
    </row>
    <row r="152" spans="1:11" s="7" customFormat="1" x14ac:dyDescent="0.25">
      <c r="A152" s="24">
        <v>1</v>
      </c>
      <c r="B152" s="25" t="s">
        <v>194</v>
      </c>
      <c r="C152" s="26">
        <v>19</v>
      </c>
      <c r="D152" s="26">
        <v>1</v>
      </c>
      <c r="E152" s="27">
        <f t="shared" si="21"/>
        <v>5.2631578947368425</v>
      </c>
      <c r="F152" s="26">
        <v>46469.594594594593</v>
      </c>
      <c r="G152" s="26">
        <v>672</v>
      </c>
      <c r="H152" s="27">
        <f t="shared" si="22"/>
        <v>1.4461068702290076</v>
      </c>
      <c r="I152" s="26">
        <v>32</v>
      </c>
      <c r="J152" s="43" t="s">
        <v>2</v>
      </c>
      <c r="K152" s="13"/>
    </row>
    <row r="153" spans="1:11" s="7" customFormat="1" x14ac:dyDescent="0.25">
      <c r="A153" s="24">
        <v>2</v>
      </c>
      <c r="B153" s="25" t="s">
        <v>193</v>
      </c>
      <c r="C153" s="26">
        <v>13</v>
      </c>
      <c r="D153" s="26">
        <v>5</v>
      </c>
      <c r="E153" s="27">
        <f t="shared" si="21"/>
        <v>38.46153846153846</v>
      </c>
      <c r="F153" s="41">
        <v>21296</v>
      </c>
      <c r="G153" s="26">
        <v>12824</v>
      </c>
      <c r="H153" s="27">
        <f t="shared" si="22"/>
        <v>60.217881292261453</v>
      </c>
      <c r="I153" s="28">
        <v>586</v>
      </c>
      <c r="J153" s="43" t="s">
        <v>6</v>
      </c>
      <c r="K153" s="13"/>
    </row>
    <row r="154" spans="1:11" s="7" customFormat="1" x14ac:dyDescent="0.25">
      <c r="A154" s="24">
        <v>2</v>
      </c>
      <c r="B154" s="25" t="s">
        <v>195</v>
      </c>
      <c r="C154" s="26">
        <v>13</v>
      </c>
      <c r="D154" s="26">
        <v>10</v>
      </c>
      <c r="E154" s="27">
        <f t="shared" si="21"/>
        <v>76.92307692307692</v>
      </c>
      <c r="F154" s="26">
        <v>21296</v>
      </c>
      <c r="G154" s="26">
        <v>15897</v>
      </c>
      <c r="H154" s="27">
        <f t="shared" si="22"/>
        <v>74.647821187077383</v>
      </c>
      <c r="I154" s="26">
        <v>757</v>
      </c>
      <c r="J154" s="43" t="s">
        <v>2</v>
      </c>
      <c r="K154" s="13"/>
    </row>
    <row r="155" spans="1:11" s="7" customFormat="1" x14ac:dyDescent="0.25">
      <c r="A155" s="24">
        <v>3</v>
      </c>
      <c r="B155" s="25" t="s">
        <v>165</v>
      </c>
      <c r="C155" s="26">
        <v>38</v>
      </c>
      <c r="D155" s="26">
        <v>33</v>
      </c>
      <c r="E155" s="27">
        <f t="shared" si="21"/>
        <v>86.84210526315789</v>
      </c>
      <c r="F155" s="41">
        <v>67482.876712328754</v>
      </c>
      <c r="G155" s="26">
        <v>36443</v>
      </c>
      <c r="H155" s="27">
        <f t="shared" si="22"/>
        <v>54.003329104288262</v>
      </c>
      <c r="I155" s="28">
        <v>2097</v>
      </c>
      <c r="J155" s="43" t="s">
        <v>6</v>
      </c>
      <c r="K155" s="13"/>
    </row>
    <row r="156" spans="1:11" s="7" customFormat="1" x14ac:dyDescent="0.25">
      <c r="A156" s="24">
        <v>3</v>
      </c>
      <c r="B156" s="25" t="s">
        <v>166</v>
      </c>
      <c r="C156" s="26">
        <v>38</v>
      </c>
      <c r="D156" s="26">
        <v>36</v>
      </c>
      <c r="E156" s="27">
        <f t="shared" si="21"/>
        <v>94.73684210526315</v>
      </c>
      <c r="F156" s="26">
        <v>67482.876712328754</v>
      </c>
      <c r="G156" s="26">
        <v>4554</v>
      </c>
      <c r="H156" s="27">
        <f t="shared" si="22"/>
        <v>6.7483785841157076</v>
      </c>
      <c r="I156" s="26">
        <v>207</v>
      </c>
      <c r="J156" s="43" t="s">
        <v>2</v>
      </c>
      <c r="K156" s="13"/>
    </row>
    <row r="157" spans="1:11" s="7" customFormat="1" x14ac:dyDescent="0.25">
      <c r="A157" s="24">
        <v>4</v>
      </c>
      <c r="B157" s="25" t="s">
        <v>167</v>
      </c>
      <c r="C157" s="26">
        <v>32</v>
      </c>
      <c r="D157" s="26">
        <v>18</v>
      </c>
      <c r="E157" s="27">
        <f t="shared" si="21"/>
        <v>56.25</v>
      </c>
      <c r="F157" s="26">
        <v>60712</v>
      </c>
      <c r="G157" s="26">
        <v>21319</v>
      </c>
      <c r="H157" s="27">
        <f t="shared" si="22"/>
        <v>35.114969034128343</v>
      </c>
      <c r="I157" s="28">
        <v>987</v>
      </c>
      <c r="J157" s="43" t="s">
        <v>6</v>
      </c>
      <c r="K157" s="13"/>
    </row>
    <row r="158" spans="1:11" s="7" customFormat="1" x14ac:dyDescent="0.25">
      <c r="A158" s="24">
        <v>4</v>
      </c>
      <c r="B158" s="25" t="s">
        <v>168</v>
      </c>
      <c r="C158" s="26">
        <v>32</v>
      </c>
      <c r="D158" s="26">
        <v>26</v>
      </c>
      <c r="E158" s="27">
        <f t="shared" si="21"/>
        <v>81.25</v>
      </c>
      <c r="F158" s="26">
        <v>60712</v>
      </c>
      <c r="G158" s="26">
        <v>39640</v>
      </c>
      <c r="H158" s="27">
        <f t="shared" si="22"/>
        <v>65.29186981156937</v>
      </c>
      <c r="I158" s="26">
        <v>1982</v>
      </c>
      <c r="J158" s="43" t="s">
        <v>2</v>
      </c>
      <c r="K158" s="13"/>
    </row>
    <row r="159" spans="1:11" s="7" customFormat="1" x14ac:dyDescent="0.25">
      <c r="A159" s="24">
        <v>5</v>
      </c>
      <c r="B159" s="25" t="s">
        <v>169</v>
      </c>
      <c r="C159" s="26">
        <v>9</v>
      </c>
      <c r="D159" s="26">
        <v>9</v>
      </c>
      <c r="E159" s="27">
        <f t="shared" si="21"/>
        <v>100</v>
      </c>
      <c r="F159" s="26">
        <v>15648.786335031467</v>
      </c>
      <c r="G159" s="26">
        <v>7213</v>
      </c>
      <c r="H159" s="27">
        <f t="shared" si="22"/>
        <v>46.093031405591717</v>
      </c>
      <c r="I159" s="28">
        <v>331</v>
      </c>
      <c r="J159" s="43" t="s">
        <v>6</v>
      </c>
      <c r="K159" s="13"/>
    </row>
    <row r="160" spans="1:11" s="7" customFormat="1" x14ac:dyDescent="0.25">
      <c r="A160" s="24">
        <v>5</v>
      </c>
      <c r="B160" s="25" t="s">
        <v>170</v>
      </c>
      <c r="C160" s="26">
        <v>9</v>
      </c>
      <c r="D160" s="26">
        <v>9</v>
      </c>
      <c r="E160" s="27">
        <f t="shared" si="21"/>
        <v>100</v>
      </c>
      <c r="F160" s="26">
        <v>15648.786335031467</v>
      </c>
      <c r="G160" s="26">
        <v>4260</v>
      </c>
      <c r="H160" s="27">
        <f t="shared" si="22"/>
        <v>27.222558406740706</v>
      </c>
      <c r="I160" s="26">
        <v>213</v>
      </c>
      <c r="J160" s="43" t="s">
        <v>2</v>
      </c>
      <c r="K160" s="13"/>
    </row>
    <row r="161" spans="1:11" s="7" customFormat="1" x14ac:dyDescent="0.25">
      <c r="A161" s="24">
        <v>6</v>
      </c>
      <c r="B161" s="25" t="s">
        <v>171</v>
      </c>
      <c r="C161" s="26">
        <v>25</v>
      </c>
      <c r="D161" s="26">
        <v>25</v>
      </c>
      <c r="E161" s="27">
        <f t="shared" si="21"/>
        <v>100</v>
      </c>
      <c r="F161" s="41">
        <v>47319.07894736842</v>
      </c>
      <c r="G161" s="26">
        <v>35659</v>
      </c>
      <c r="H161" s="27">
        <f t="shared" si="22"/>
        <v>75.358609662843236</v>
      </c>
      <c r="I161" s="28">
        <v>1857</v>
      </c>
      <c r="J161" s="43" t="s">
        <v>6</v>
      </c>
      <c r="K161" s="13"/>
    </row>
    <row r="162" spans="1:11" s="7" customFormat="1" x14ac:dyDescent="0.25">
      <c r="A162" s="24">
        <v>7</v>
      </c>
      <c r="B162" s="25" t="s">
        <v>172</v>
      </c>
      <c r="C162" s="26">
        <v>18</v>
      </c>
      <c r="D162" s="26">
        <v>18</v>
      </c>
      <c r="E162" s="27">
        <f t="shared" si="21"/>
        <v>100</v>
      </c>
      <c r="F162" s="26">
        <v>54333</v>
      </c>
      <c r="G162" s="26">
        <v>4515</v>
      </c>
      <c r="H162" s="27">
        <f t="shared" si="22"/>
        <v>8.3098669316989664</v>
      </c>
      <c r="I162" s="26">
        <v>215</v>
      </c>
      <c r="J162" s="43" t="s">
        <v>2</v>
      </c>
      <c r="K162" s="13"/>
    </row>
    <row r="163" spans="1:11" s="7" customFormat="1" x14ac:dyDescent="0.25">
      <c r="A163" s="24">
        <v>8</v>
      </c>
      <c r="B163" s="25" t="s">
        <v>173</v>
      </c>
      <c r="C163" s="26">
        <v>12</v>
      </c>
      <c r="D163" s="26">
        <v>13</v>
      </c>
      <c r="E163" s="27">
        <f t="shared" si="21"/>
        <v>108.33333333333334</v>
      </c>
      <c r="F163" s="41">
        <v>26849.31506849315</v>
      </c>
      <c r="G163" s="26">
        <v>10603</v>
      </c>
      <c r="H163" s="27">
        <f t="shared" si="22"/>
        <v>39.490765306122448</v>
      </c>
      <c r="I163" s="28">
        <v>609</v>
      </c>
      <c r="J163" s="43" t="s">
        <v>6</v>
      </c>
      <c r="K163" s="13"/>
    </row>
    <row r="164" spans="1:11" s="7" customFormat="1" x14ac:dyDescent="0.25">
      <c r="A164" s="24">
        <v>9</v>
      </c>
      <c r="B164" s="25" t="s">
        <v>174</v>
      </c>
      <c r="C164" s="26">
        <v>22</v>
      </c>
      <c r="D164" s="26">
        <v>15</v>
      </c>
      <c r="E164" s="27">
        <f t="shared" si="21"/>
        <v>68.181818181818187</v>
      </c>
      <c r="F164" s="26">
        <v>40208</v>
      </c>
      <c r="G164" s="26">
        <v>6220</v>
      </c>
      <c r="H164" s="27">
        <f t="shared" si="22"/>
        <v>15.469558296856347</v>
      </c>
      <c r="I164" s="26">
        <v>311</v>
      </c>
      <c r="J164" s="43" t="s">
        <v>2</v>
      </c>
      <c r="K164" s="13"/>
    </row>
    <row r="165" spans="1:11" s="7" customFormat="1" x14ac:dyDescent="0.25">
      <c r="A165" s="48">
        <v>10</v>
      </c>
      <c r="B165" s="49" t="s">
        <v>192</v>
      </c>
      <c r="C165" s="50">
        <v>8</v>
      </c>
      <c r="D165" s="50">
        <v>8</v>
      </c>
      <c r="E165" s="27">
        <f t="shared" si="21"/>
        <v>100</v>
      </c>
      <c r="F165" s="52">
        <v>18651</v>
      </c>
      <c r="G165" s="50">
        <v>10130</v>
      </c>
      <c r="H165" s="27">
        <f t="shared" si="22"/>
        <v>54.313441638518043</v>
      </c>
      <c r="I165" s="53">
        <v>538</v>
      </c>
      <c r="J165" s="54" t="s">
        <v>6</v>
      </c>
      <c r="K165" s="13"/>
    </row>
    <row r="166" spans="1:11" s="5" customFormat="1" ht="14.4" thickBot="1" x14ac:dyDescent="0.3">
      <c r="A166" s="30">
        <v>10</v>
      </c>
      <c r="B166" s="31" t="s">
        <v>50</v>
      </c>
      <c r="C166" s="32">
        <f>(C151+C153+C155+C157+C159+C161+C162+C163+C164+C165)</f>
        <v>196</v>
      </c>
      <c r="D166" s="32">
        <f>(D151+D154+D156+D158+D160+D161+D162+D163+D164+D165)</f>
        <v>179</v>
      </c>
      <c r="E166" s="33">
        <f t="shared" si="21"/>
        <v>91.326530612244895</v>
      </c>
      <c r="F166" s="32">
        <f>(F151+F153+F155+F157+F159+F161+F162+F163+F164+F165)</f>
        <v>398969.65165781637</v>
      </c>
      <c r="G166" s="32">
        <f>SUM(G151:G165)</f>
        <v>230231</v>
      </c>
      <c r="H166" s="33">
        <f t="shared" si="22"/>
        <v>57.706394219042458</v>
      </c>
      <c r="I166" s="32">
        <f>SUM(I151:I165)</f>
        <v>11770</v>
      </c>
      <c r="J166" s="34"/>
      <c r="K166" s="13"/>
    </row>
    <row r="167" spans="1:11" ht="13.5" customHeight="1" thickBot="1" x14ac:dyDescent="0.35">
      <c r="A167" s="46"/>
      <c r="B167" s="47"/>
      <c r="C167" s="37"/>
      <c r="D167" s="35"/>
      <c r="E167" s="36"/>
      <c r="F167" s="37"/>
      <c r="G167" s="35"/>
      <c r="H167" s="81"/>
      <c r="I167" s="37"/>
      <c r="J167" s="16"/>
      <c r="K167" s="13"/>
    </row>
    <row r="168" spans="1:11" s="6" customFormat="1" x14ac:dyDescent="0.25">
      <c r="A168" s="19" t="s">
        <v>175</v>
      </c>
      <c r="B168" s="20"/>
      <c r="C168" s="21"/>
      <c r="D168" s="38"/>
      <c r="E168" s="39"/>
      <c r="F168" s="21"/>
      <c r="G168" s="38"/>
      <c r="H168" s="83"/>
      <c r="I168" s="40"/>
      <c r="J168" s="23"/>
    </row>
    <row r="169" spans="1:11" s="7" customFormat="1" x14ac:dyDescent="0.25">
      <c r="A169" s="24">
        <v>1</v>
      </c>
      <c r="B169" s="25" t="s">
        <v>176</v>
      </c>
      <c r="C169" s="26">
        <v>8</v>
      </c>
      <c r="D169" s="26">
        <v>8</v>
      </c>
      <c r="E169" s="27">
        <f>D169/C169%</f>
        <v>100</v>
      </c>
      <c r="F169" s="41">
        <v>10999.903096902348</v>
      </c>
      <c r="G169" s="26">
        <v>6444</v>
      </c>
      <c r="H169" s="27">
        <f>G169/F169%</f>
        <v>58.582334255423369</v>
      </c>
      <c r="I169" s="26">
        <v>304</v>
      </c>
      <c r="J169" s="43" t="s">
        <v>3</v>
      </c>
    </row>
    <row r="170" spans="1:11" s="7" customFormat="1" x14ac:dyDescent="0.25">
      <c r="A170" s="24">
        <v>2</v>
      </c>
      <c r="B170" s="25" t="s">
        <v>221</v>
      </c>
      <c r="C170" s="26">
        <v>9</v>
      </c>
      <c r="D170" s="26">
        <v>0</v>
      </c>
      <c r="E170" s="27">
        <v>0</v>
      </c>
      <c r="F170" s="41">
        <v>0</v>
      </c>
      <c r="G170" s="26">
        <v>0</v>
      </c>
      <c r="H170" s="27">
        <v>0</v>
      </c>
      <c r="I170" s="26">
        <v>0</v>
      </c>
      <c r="J170" s="124">
        <v>0</v>
      </c>
    </row>
    <row r="171" spans="1:11" s="7" customFormat="1" x14ac:dyDescent="0.25">
      <c r="A171" s="24">
        <v>3</v>
      </c>
      <c r="B171" s="25" t="s">
        <v>177</v>
      </c>
      <c r="C171" s="26">
        <v>14</v>
      </c>
      <c r="D171" s="26">
        <v>14</v>
      </c>
      <c r="E171" s="27">
        <f t="shared" ref="E171:E176" si="23">D171/C171%</f>
        <v>99.999999999999986</v>
      </c>
      <c r="F171" s="41">
        <v>18452.493081471035</v>
      </c>
      <c r="G171" s="26">
        <v>10401</v>
      </c>
      <c r="H171" s="27">
        <f t="shared" ref="H171:H176" si="24">G171/F171%</f>
        <v>56.366367157422779</v>
      </c>
      <c r="I171" s="26">
        <v>477</v>
      </c>
      <c r="J171" s="43" t="s">
        <v>3</v>
      </c>
    </row>
    <row r="172" spans="1:11" s="7" customFormat="1" x14ac:dyDescent="0.25">
      <c r="A172" s="24">
        <v>4</v>
      </c>
      <c r="B172" s="25" t="s">
        <v>178</v>
      </c>
      <c r="C172" s="26">
        <v>16</v>
      </c>
      <c r="D172" s="26">
        <v>16</v>
      </c>
      <c r="E172" s="27">
        <f t="shared" si="23"/>
        <v>100</v>
      </c>
      <c r="F172" s="41">
        <v>13563.115170309828</v>
      </c>
      <c r="G172" s="26">
        <v>12420</v>
      </c>
      <c r="H172" s="27">
        <f t="shared" si="24"/>
        <v>91.571883332435675</v>
      </c>
      <c r="I172" s="26">
        <v>552</v>
      </c>
      <c r="J172" s="43" t="s">
        <v>3</v>
      </c>
    </row>
    <row r="173" spans="1:11" s="7" customFormat="1" x14ac:dyDescent="0.25">
      <c r="A173" s="24">
        <v>5</v>
      </c>
      <c r="B173" s="25" t="s">
        <v>179</v>
      </c>
      <c r="C173" s="26">
        <v>10</v>
      </c>
      <c r="D173" s="26">
        <v>10</v>
      </c>
      <c r="E173" s="27">
        <f t="shared" si="23"/>
        <v>100</v>
      </c>
      <c r="F173" s="41">
        <v>17721</v>
      </c>
      <c r="G173" s="26">
        <v>10924</v>
      </c>
      <c r="H173" s="27">
        <f t="shared" si="24"/>
        <v>61.644376728175608</v>
      </c>
      <c r="I173" s="26">
        <v>456</v>
      </c>
      <c r="J173" s="43" t="s">
        <v>3</v>
      </c>
    </row>
    <row r="174" spans="1:11" s="7" customFormat="1" x14ac:dyDescent="0.25">
      <c r="A174" s="24">
        <v>6</v>
      </c>
      <c r="B174" s="25" t="s">
        <v>180</v>
      </c>
      <c r="C174" s="26">
        <v>15</v>
      </c>
      <c r="D174" s="26">
        <v>15</v>
      </c>
      <c r="E174" s="27">
        <f t="shared" si="23"/>
        <v>100</v>
      </c>
      <c r="F174" s="41">
        <v>12779</v>
      </c>
      <c r="G174" s="26">
        <v>11965</v>
      </c>
      <c r="H174" s="27">
        <f t="shared" si="24"/>
        <v>93.630174505047336</v>
      </c>
      <c r="I174" s="26">
        <v>483</v>
      </c>
      <c r="J174" s="43" t="s">
        <v>3</v>
      </c>
    </row>
    <row r="175" spans="1:11" s="7" customFormat="1" x14ac:dyDescent="0.25">
      <c r="A175" s="24">
        <v>7</v>
      </c>
      <c r="B175" s="25" t="s">
        <v>181</v>
      </c>
      <c r="C175" s="26">
        <v>31</v>
      </c>
      <c r="D175" s="26">
        <v>31</v>
      </c>
      <c r="E175" s="27">
        <f t="shared" si="23"/>
        <v>100</v>
      </c>
      <c r="F175" s="41">
        <v>35134.322614801174</v>
      </c>
      <c r="G175" s="26">
        <v>23627</v>
      </c>
      <c r="H175" s="27">
        <f t="shared" si="24"/>
        <v>67.247632063487004</v>
      </c>
      <c r="I175" s="26">
        <v>1010</v>
      </c>
      <c r="J175" s="43" t="s">
        <v>3</v>
      </c>
    </row>
    <row r="176" spans="1:11" s="5" customFormat="1" ht="14.4" thickBot="1" x14ac:dyDescent="0.3">
      <c r="A176" s="30">
        <f>COUNTIF(J169:J175,"*")</f>
        <v>6</v>
      </c>
      <c r="B176" s="31" t="s">
        <v>50</v>
      </c>
      <c r="C176" s="32">
        <f t="shared" ref="C176" si="25">SUM(C169:C175)</f>
        <v>103</v>
      </c>
      <c r="D176" s="32">
        <f>SUM(D169:D175)</f>
        <v>94</v>
      </c>
      <c r="E176" s="33">
        <f t="shared" si="23"/>
        <v>91.262135922330089</v>
      </c>
      <c r="F176" s="32">
        <f t="shared" ref="F176" si="26">SUM(F169:F175)</f>
        <v>108649.83396348439</v>
      </c>
      <c r="G176" s="32">
        <f>SUM(G169:G175)</f>
        <v>75781</v>
      </c>
      <c r="H176" s="33">
        <f t="shared" si="24"/>
        <v>69.747920669136846</v>
      </c>
      <c r="I176" s="32">
        <f>SUM(I169:I175)</f>
        <v>3282</v>
      </c>
      <c r="J176" s="34"/>
    </row>
    <row r="177" spans="1:10" s="5" customFormat="1" ht="3.75" customHeight="1" thickBot="1" x14ac:dyDescent="0.3">
      <c r="A177" s="55"/>
      <c r="B177" s="56"/>
      <c r="C177" s="57"/>
      <c r="D177" s="59"/>
      <c r="E177" s="58"/>
      <c r="F177" s="57"/>
      <c r="G177" s="59"/>
      <c r="H177" s="84"/>
      <c r="I177" s="60"/>
      <c r="J177" s="61"/>
    </row>
    <row r="178" spans="1:10" s="6" customFormat="1" x14ac:dyDescent="0.25">
      <c r="A178" s="19" t="s">
        <v>182</v>
      </c>
      <c r="B178" s="20"/>
      <c r="C178" s="21"/>
      <c r="D178" s="38"/>
      <c r="E178" s="39"/>
      <c r="F178" s="21"/>
      <c r="G178" s="38"/>
      <c r="H178" s="83"/>
      <c r="I178" s="40"/>
      <c r="J178" s="23"/>
    </row>
    <row r="179" spans="1:10" s="7" customFormat="1" x14ac:dyDescent="0.25">
      <c r="A179" s="140">
        <v>1</v>
      </c>
      <c r="B179" s="25" t="s">
        <v>220</v>
      </c>
      <c r="C179" s="78">
        <v>37</v>
      </c>
      <c r="D179" s="78">
        <v>0</v>
      </c>
      <c r="E179" s="78">
        <v>0</v>
      </c>
      <c r="F179" s="78">
        <v>0</v>
      </c>
      <c r="G179" s="78">
        <v>0</v>
      </c>
      <c r="H179" s="78">
        <v>0</v>
      </c>
      <c r="I179" s="78">
        <v>0</v>
      </c>
      <c r="J179" s="141">
        <v>0</v>
      </c>
    </row>
    <row r="180" spans="1:10" s="7" customFormat="1" x14ac:dyDescent="0.25">
      <c r="A180" s="140">
        <v>2</v>
      </c>
      <c r="B180" s="25" t="s">
        <v>210</v>
      </c>
      <c r="C180" s="78">
        <v>28</v>
      </c>
      <c r="D180" s="78">
        <v>0</v>
      </c>
      <c r="E180" s="78">
        <v>0</v>
      </c>
      <c r="F180" s="78">
        <v>0</v>
      </c>
      <c r="G180" s="78">
        <v>0</v>
      </c>
      <c r="H180" s="78">
        <v>0</v>
      </c>
      <c r="I180" s="78">
        <v>0</v>
      </c>
      <c r="J180" s="141">
        <v>0</v>
      </c>
    </row>
    <row r="181" spans="1:10" s="7" customFormat="1" x14ac:dyDescent="0.25">
      <c r="A181" s="140">
        <v>3</v>
      </c>
      <c r="B181" s="25" t="s">
        <v>183</v>
      </c>
      <c r="C181" s="26">
        <v>23</v>
      </c>
      <c r="D181" s="26">
        <v>3</v>
      </c>
      <c r="E181" s="27">
        <f>D181/C181%</f>
        <v>13.043478260869565</v>
      </c>
      <c r="F181" s="26">
        <v>42293</v>
      </c>
      <c r="G181" s="26">
        <v>4110</v>
      </c>
      <c r="H181" s="27">
        <f>G181/F181%</f>
        <v>9.7179202232047857</v>
      </c>
      <c r="I181" s="26">
        <f>129-12</f>
        <v>117</v>
      </c>
      <c r="J181" s="43" t="s">
        <v>10</v>
      </c>
    </row>
    <row r="182" spans="1:10" s="7" customFormat="1" x14ac:dyDescent="0.25">
      <c r="A182" s="140">
        <v>4</v>
      </c>
      <c r="B182" s="25" t="s">
        <v>211</v>
      </c>
      <c r="C182" s="26">
        <v>21</v>
      </c>
      <c r="D182" s="78">
        <v>0</v>
      </c>
      <c r="E182" s="78">
        <v>0</v>
      </c>
      <c r="F182" s="78">
        <v>0</v>
      </c>
      <c r="G182" s="78">
        <v>0</v>
      </c>
      <c r="H182" s="78">
        <v>0</v>
      </c>
      <c r="I182" s="78">
        <v>0</v>
      </c>
      <c r="J182" s="141">
        <v>0</v>
      </c>
    </row>
    <row r="183" spans="1:10" s="7" customFormat="1" x14ac:dyDescent="0.25">
      <c r="A183" s="140">
        <v>5</v>
      </c>
      <c r="B183" s="25" t="s">
        <v>212</v>
      </c>
      <c r="C183" s="26">
        <v>22</v>
      </c>
      <c r="D183" s="78">
        <v>0</v>
      </c>
      <c r="E183" s="78">
        <v>0</v>
      </c>
      <c r="F183" s="78">
        <v>0</v>
      </c>
      <c r="G183" s="78">
        <v>0</v>
      </c>
      <c r="H183" s="78">
        <v>0</v>
      </c>
      <c r="I183" s="78">
        <v>0</v>
      </c>
      <c r="J183" s="141">
        <v>0</v>
      </c>
    </row>
    <row r="184" spans="1:10" s="7" customFormat="1" x14ac:dyDescent="0.25">
      <c r="A184" s="140">
        <v>6</v>
      </c>
      <c r="B184" s="25" t="s">
        <v>213</v>
      </c>
      <c r="C184" s="26">
        <v>15</v>
      </c>
      <c r="D184" s="78">
        <v>0</v>
      </c>
      <c r="E184" s="78">
        <v>0</v>
      </c>
      <c r="F184" s="78">
        <v>0</v>
      </c>
      <c r="G184" s="78">
        <v>0</v>
      </c>
      <c r="H184" s="78">
        <v>0</v>
      </c>
      <c r="I184" s="78">
        <v>0</v>
      </c>
      <c r="J184" s="141">
        <v>0</v>
      </c>
    </row>
    <row r="185" spans="1:10" s="7" customFormat="1" x14ac:dyDescent="0.25">
      <c r="A185" s="140">
        <v>7</v>
      </c>
      <c r="B185" s="25" t="s">
        <v>214</v>
      </c>
      <c r="C185" s="26">
        <v>29</v>
      </c>
      <c r="D185" s="78">
        <v>0</v>
      </c>
      <c r="E185" s="78">
        <v>0</v>
      </c>
      <c r="F185" s="78">
        <v>0</v>
      </c>
      <c r="G185" s="78">
        <v>0</v>
      </c>
      <c r="H185" s="78">
        <v>0</v>
      </c>
      <c r="I185" s="78">
        <v>0</v>
      </c>
      <c r="J185" s="141">
        <v>0</v>
      </c>
    </row>
    <row r="186" spans="1:10" s="7" customFormat="1" x14ac:dyDescent="0.25">
      <c r="A186" s="140">
        <v>8</v>
      </c>
      <c r="B186" s="25" t="s">
        <v>215</v>
      </c>
      <c r="C186" s="26">
        <v>1</v>
      </c>
      <c r="D186" s="78">
        <v>0</v>
      </c>
      <c r="E186" s="78">
        <v>0</v>
      </c>
      <c r="F186" s="78">
        <v>0</v>
      </c>
      <c r="G186" s="78">
        <v>0</v>
      </c>
      <c r="H186" s="78">
        <v>0</v>
      </c>
      <c r="I186" s="78">
        <v>0</v>
      </c>
      <c r="J186" s="141">
        <v>0</v>
      </c>
    </row>
    <row r="187" spans="1:10" s="7" customFormat="1" x14ac:dyDescent="0.25">
      <c r="A187" s="140">
        <v>9</v>
      </c>
      <c r="B187" s="25" t="s">
        <v>216</v>
      </c>
      <c r="C187" s="26">
        <v>1</v>
      </c>
      <c r="D187" s="78">
        <v>0</v>
      </c>
      <c r="E187" s="78">
        <v>0</v>
      </c>
      <c r="F187" s="78">
        <v>0</v>
      </c>
      <c r="G187" s="78">
        <v>0</v>
      </c>
      <c r="H187" s="78">
        <v>0</v>
      </c>
      <c r="I187" s="78">
        <v>0</v>
      </c>
      <c r="J187" s="141">
        <v>0</v>
      </c>
    </row>
    <row r="188" spans="1:10" s="7" customFormat="1" x14ac:dyDescent="0.25">
      <c r="A188" s="140">
        <v>10</v>
      </c>
      <c r="B188" s="25" t="s">
        <v>217</v>
      </c>
      <c r="C188" s="26">
        <v>3</v>
      </c>
      <c r="D188" s="78">
        <v>0</v>
      </c>
      <c r="E188" s="78">
        <v>0</v>
      </c>
      <c r="F188" s="78">
        <v>0</v>
      </c>
      <c r="G188" s="78">
        <v>0</v>
      </c>
      <c r="H188" s="78">
        <v>0</v>
      </c>
      <c r="I188" s="78">
        <v>0</v>
      </c>
      <c r="J188" s="141">
        <v>0</v>
      </c>
    </row>
    <row r="189" spans="1:10" s="7" customFormat="1" x14ac:dyDescent="0.25">
      <c r="A189" s="140">
        <v>11</v>
      </c>
      <c r="B189" s="25" t="s">
        <v>218</v>
      </c>
      <c r="C189" s="26">
        <v>5</v>
      </c>
      <c r="D189" s="78">
        <v>0</v>
      </c>
      <c r="E189" s="78">
        <v>0</v>
      </c>
      <c r="F189" s="78">
        <v>0</v>
      </c>
      <c r="G189" s="78">
        <v>0</v>
      </c>
      <c r="H189" s="78">
        <v>0</v>
      </c>
      <c r="I189" s="78">
        <v>0</v>
      </c>
      <c r="J189" s="141">
        <v>0</v>
      </c>
    </row>
    <row r="190" spans="1:10" s="7" customFormat="1" x14ac:dyDescent="0.3">
      <c r="A190" s="140">
        <v>12</v>
      </c>
      <c r="B190" s="62" t="s">
        <v>184</v>
      </c>
      <c r="C190" s="26">
        <v>3</v>
      </c>
      <c r="D190" s="26">
        <v>3</v>
      </c>
      <c r="E190" s="27">
        <f>D190/C190%</f>
        <v>100</v>
      </c>
      <c r="F190" s="26">
        <v>6118</v>
      </c>
      <c r="G190" s="26">
        <v>1738</v>
      </c>
      <c r="H190" s="27">
        <f>G190/F190%</f>
        <v>28.407976462896372</v>
      </c>
      <c r="I190" s="26">
        <f>116-10</f>
        <v>106</v>
      </c>
      <c r="J190" s="43" t="s">
        <v>10</v>
      </c>
    </row>
    <row r="191" spans="1:10" s="7" customFormat="1" x14ac:dyDescent="0.25">
      <c r="A191" s="140">
        <v>13</v>
      </c>
      <c r="B191" s="25" t="s">
        <v>219</v>
      </c>
      <c r="C191" s="26">
        <v>2</v>
      </c>
      <c r="D191" s="78">
        <v>0</v>
      </c>
      <c r="E191" s="78">
        <v>0</v>
      </c>
      <c r="F191" s="78">
        <v>0</v>
      </c>
      <c r="G191" s="78">
        <v>0</v>
      </c>
      <c r="H191" s="78">
        <v>0</v>
      </c>
      <c r="I191" s="78">
        <v>0</v>
      </c>
      <c r="J191" s="141">
        <v>0</v>
      </c>
    </row>
    <row r="192" spans="1:10" s="5" customFormat="1" ht="14.4" thickBot="1" x14ac:dyDescent="0.3">
      <c r="A192" s="30">
        <f>COUNTIF(J179:J191,"*")</f>
        <v>2</v>
      </c>
      <c r="B192" s="31" t="s">
        <v>50</v>
      </c>
      <c r="C192" s="32">
        <f>SUM(C179:C191)</f>
        <v>190</v>
      </c>
      <c r="D192" s="32">
        <f>SUM(D179:D191)</f>
        <v>6</v>
      </c>
      <c r="E192" s="33">
        <f>D192/C192%</f>
        <v>3.1578947368421053</v>
      </c>
      <c r="F192" s="32">
        <f>SUM(F179:F191)</f>
        <v>48411</v>
      </c>
      <c r="G192" s="32">
        <f>SUM(G179:G191)</f>
        <v>5848</v>
      </c>
      <c r="H192" s="33">
        <f>G192/F192%</f>
        <v>12.079899196463613</v>
      </c>
      <c r="I192" s="32">
        <f>SUM(I179:I191)</f>
        <v>223</v>
      </c>
      <c r="J192" s="34"/>
    </row>
    <row r="193" spans="1:12" s="5" customFormat="1" ht="6.75" customHeight="1" thickBot="1" x14ac:dyDescent="0.3">
      <c r="A193" s="46"/>
      <c r="B193" s="63"/>
      <c r="C193" s="46"/>
      <c r="D193" s="35"/>
      <c r="E193" s="36"/>
      <c r="F193" s="46"/>
      <c r="G193" s="35"/>
      <c r="H193" s="36"/>
      <c r="I193" s="37"/>
      <c r="J193" s="64"/>
    </row>
    <row r="194" spans="1:12" s="5" customFormat="1" ht="13.5" customHeight="1" thickBot="1" x14ac:dyDescent="0.35">
      <c r="A194" s="65">
        <f>A40+A74+A100+A148+A166+A176+A7+A192</f>
        <v>110</v>
      </c>
      <c r="B194" s="66" t="s">
        <v>185</v>
      </c>
      <c r="C194" s="76">
        <f>C40+C74+C100+C148+C166+C176+C7+C192</f>
        <v>5565</v>
      </c>
      <c r="D194" s="76">
        <f>D40+D74+D100+D148+D166+D176+D7+D192</f>
        <v>3526</v>
      </c>
      <c r="E194" s="67">
        <f>D194/C194%</f>
        <v>63.360287511230908</v>
      </c>
      <c r="F194" s="76">
        <f>F192+F176+F166+F148+F100+F74+F40+F7</f>
        <v>11316460.594703551</v>
      </c>
      <c r="G194" s="76">
        <f>G192+G176+G166+G148+G100+G74+G40+G7</f>
        <v>4167155</v>
      </c>
      <c r="H194" s="67">
        <f>G194/F194%</f>
        <v>36.823836968516069</v>
      </c>
      <c r="I194" s="76">
        <f>I192+I176+I166+I148+I100+I74+I40+I7</f>
        <v>258403</v>
      </c>
      <c r="J194" s="68"/>
    </row>
    <row r="195" spans="1:12" ht="6" customHeight="1" x14ac:dyDescent="0.3">
      <c r="A195" s="17"/>
      <c r="B195" s="15"/>
      <c r="C195" s="79"/>
      <c r="D195" s="79"/>
      <c r="E195" s="36"/>
      <c r="F195" s="79"/>
      <c r="G195" s="79"/>
      <c r="H195" s="80"/>
      <c r="I195" s="79"/>
      <c r="J195" s="16"/>
    </row>
    <row r="196" spans="1:12" ht="16.5" customHeight="1" thickBot="1" x14ac:dyDescent="0.35">
      <c r="A196" s="129" t="s">
        <v>186</v>
      </c>
      <c r="B196" s="15"/>
      <c r="C196" s="79"/>
      <c r="D196" s="79"/>
      <c r="E196" s="36"/>
      <c r="F196" s="79"/>
      <c r="G196" s="79"/>
      <c r="H196" s="80"/>
      <c r="I196" s="79"/>
      <c r="J196" s="16"/>
    </row>
    <row r="197" spans="1:12" x14ac:dyDescent="0.25">
      <c r="A197" s="142" t="s">
        <v>231</v>
      </c>
      <c r="B197" s="143" t="s">
        <v>235</v>
      </c>
      <c r="C197" s="69"/>
      <c r="D197" s="70"/>
      <c r="E197" s="71"/>
      <c r="F197" s="70"/>
      <c r="G197" s="72"/>
      <c r="H197" s="82"/>
      <c r="I197" s="72"/>
      <c r="J197" s="73"/>
      <c r="K197" s="1" t="s">
        <v>187</v>
      </c>
    </row>
    <row r="198" spans="1:12" x14ac:dyDescent="0.25">
      <c r="A198" s="24">
        <f>COUNTIF($J$6:$J$192,"AJKRSP")</f>
        <v>7</v>
      </c>
      <c r="B198" s="25" t="s">
        <v>2</v>
      </c>
      <c r="C198" s="41">
        <f>SUMIF($J$6:$J$191,"AJKRSP",$C$6:$C$191)</f>
        <v>151</v>
      </c>
      <c r="D198" s="41">
        <f>SUMIF($J$6:$J$191,"AJKRSP",$D$6:$D$191)</f>
        <v>115</v>
      </c>
      <c r="E198" s="27">
        <f t="shared" ref="E198:E208" si="27">D198/C198%</f>
        <v>76.158940397350989</v>
      </c>
      <c r="F198" s="41">
        <f>SUMIF($J$6:$J$191,"AJKRSP",$F$6:$F$191)</f>
        <v>306150.25764195481</v>
      </c>
      <c r="G198" s="41">
        <f>SUMIF($J$6:$J$191,"AJKRSP",$G$6:$G$191)</f>
        <v>75758</v>
      </c>
      <c r="H198" s="27">
        <f t="shared" ref="H198:H208" si="28">G198/F198%</f>
        <v>24.745365423993729</v>
      </c>
      <c r="I198" s="41">
        <f>SUMIF($J$6:$J$191,"AJKRSP",$I$6:$I$191)</f>
        <v>3717</v>
      </c>
      <c r="J198" s="43" t="s">
        <v>2</v>
      </c>
      <c r="K198" s="13"/>
    </row>
    <row r="199" spans="1:12" s="7" customFormat="1" x14ac:dyDescent="0.25">
      <c r="A199" s="24">
        <f>COUNTIF($J$6:$J$192,"AKRSP")</f>
        <v>7</v>
      </c>
      <c r="B199" s="44" t="s">
        <v>3</v>
      </c>
      <c r="C199" s="41">
        <f>SUMIF($J$6:$J$191,"AKRSP",$C$6:$C$191)</f>
        <v>118</v>
      </c>
      <c r="D199" s="41">
        <f>SUMIF($J$6:$J$191,"AKRSP",$D$6:$D$191)</f>
        <v>118</v>
      </c>
      <c r="E199" s="27">
        <f t="shared" si="27"/>
        <v>100</v>
      </c>
      <c r="F199" s="41">
        <f>SUMIF($J$6:$J$191,"AKRSP",$F$6:$F$191)</f>
        <v>145528.83396348439</v>
      </c>
      <c r="G199" s="41">
        <f>SUMIF($J$6:$J$191,"AKRSP",$G$6:$G$191)</f>
        <v>108969</v>
      </c>
      <c r="H199" s="27">
        <f t="shared" si="28"/>
        <v>74.877944825244839</v>
      </c>
      <c r="I199" s="41">
        <f>SUMIF($J$6:$J$191,"AKRSP",$I$6:$I$191)</f>
        <v>4721</v>
      </c>
      <c r="J199" s="43" t="s">
        <v>3</v>
      </c>
      <c r="K199" s="13"/>
    </row>
    <row r="200" spans="1:12" s="7" customFormat="1" x14ac:dyDescent="0.25">
      <c r="A200" s="24">
        <f>COUNTIF($J$6:$J$192,"BRSP")</f>
        <v>11</v>
      </c>
      <c r="B200" s="44" t="s">
        <v>4</v>
      </c>
      <c r="C200" s="41">
        <f>SUMIF($J$6:$J$191,"BRSP",$C$6:$C$191)</f>
        <v>236</v>
      </c>
      <c r="D200" s="41">
        <f>SUMIF($J$6:$J$191,"BRSP",$D$6:$D$191)</f>
        <v>170</v>
      </c>
      <c r="E200" s="27">
        <f t="shared" si="27"/>
        <v>72.033898305084747</v>
      </c>
      <c r="F200" s="41">
        <f>SUMIF($J$6:$J$191,"BRSP",$F$6:$F$191)</f>
        <v>344614.125</v>
      </c>
      <c r="G200" s="41">
        <f>SUMIF($J$6:$J$191,"BRSP",$G$6:$G$191)</f>
        <v>153800</v>
      </c>
      <c r="H200" s="27">
        <f t="shared" si="28"/>
        <v>44.629627412979659</v>
      </c>
      <c r="I200" s="41">
        <f>SUMIF($J$6:$J$191,"BRSP",$I$6:$I$191)</f>
        <v>9313</v>
      </c>
      <c r="J200" s="43" t="s">
        <v>4</v>
      </c>
      <c r="K200" s="13"/>
      <c r="L200" s="134"/>
    </row>
    <row r="201" spans="1:12" s="7" customFormat="1" x14ac:dyDescent="0.25">
      <c r="A201" s="24">
        <f>COUNTIF($J$6:$J$192,"GBTI")</f>
        <v>3</v>
      </c>
      <c r="B201" s="44" t="s">
        <v>5</v>
      </c>
      <c r="C201" s="41">
        <f>SUMIF($J$6:$J$191,"GBTI",$C$6:$C$191)</f>
        <v>165</v>
      </c>
      <c r="D201" s="41">
        <f>SUMIF($J$6:$J$191,"GBTI",$D$6:$D$191)</f>
        <v>20</v>
      </c>
      <c r="E201" s="27">
        <f t="shared" si="27"/>
        <v>12.121212121212121</v>
      </c>
      <c r="F201" s="41">
        <f>SUMIF($J$6:$J$191,"GBTI",$F$6:$F$191)</f>
        <v>371315</v>
      </c>
      <c r="G201" s="41">
        <f>SUMIF($J$6:$J$191,"GBTI",$G$6:$G$191)</f>
        <v>30406</v>
      </c>
      <c r="H201" s="27">
        <f t="shared" si="28"/>
        <v>8.1887346323202674</v>
      </c>
      <c r="I201" s="41">
        <f>SUMIF($J$6:$J$191,"GBTI",$I$6:$I$191)</f>
        <v>2510</v>
      </c>
      <c r="J201" s="43" t="s">
        <v>5</v>
      </c>
      <c r="K201" s="13"/>
    </row>
    <row r="202" spans="1:12" s="7" customFormat="1" x14ac:dyDescent="0.25">
      <c r="A202" s="24">
        <f>COUNTIF($J$6:$J$192,"NRSP")</f>
        <v>48</v>
      </c>
      <c r="B202" s="44" t="s">
        <v>6</v>
      </c>
      <c r="C202" s="41">
        <f>SUMIF($J$6:$J$191,"NRSP",$C$6:$C$191)</f>
        <v>2272</v>
      </c>
      <c r="D202" s="41">
        <f>SUMIF($J$6:$J$191,"NRSP",$D$6:$D$191)</f>
        <v>1806</v>
      </c>
      <c r="E202" s="27">
        <f t="shared" si="27"/>
        <v>79.489436619718319</v>
      </c>
      <c r="F202" s="41">
        <f>SUMIF($J$6:$J$191,"NRSP",$F$6:$F$191)</f>
        <v>5587740.7295798948</v>
      </c>
      <c r="G202" s="41">
        <f>SUMIF($J$6:$J$191,"NRSP",$G$6:$G$191)</f>
        <v>1832496</v>
      </c>
      <c r="H202" s="27">
        <f t="shared" si="28"/>
        <v>32.794936069586988</v>
      </c>
      <c r="I202" s="41">
        <f>SUMIF($J$6:$J$191,"NRSP",$I$6:$I$191)</f>
        <v>124405</v>
      </c>
      <c r="J202" s="43" t="s">
        <v>6</v>
      </c>
      <c r="K202" s="13"/>
    </row>
    <row r="203" spans="1:12" s="7" customFormat="1" x14ac:dyDescent="0.25">
      <c r="A203" s="24">
        <f>COUNTIF($J$6:$J$192,"PRSP")</f>
        <v>22</v>
      </c>
      <c r="B203" s="44" t="s">
        <v>7</v>
      </c>
      <c r="C203" s="41">
        <f>SUMIF($J$6:$J$191,"pRSP",$C$6:$C$191)</f>
        <v>1688</v>
      </c>
      <c r="D203" s="41">
        <f>SUMIF($J$6:$J$191,"pRSP",$D$6:$D$191)</f>
        <v>823</v>
      </c>
      <c r="E203" s="27">
        <f t="shared" si="27"/>
        <v>48.755924170616119</v>
      </c>
      <c r="F203" s="41">
        <f>SUMIF($J$6:$J$191,"pRSP",$F$6:$F$191)</f>
        <v>3855549.7806190476</v>
      </c>
      <c r="G203" s="41">
        <f>SUMIF($J$6:$J$191,"pRSP",$G$6:$G$191)</f>
        <v>783294</v>
      </c>
      <c r="H203" s="27">
        <f t="shared" si="28"/>
        <v>20.316013138708175</v>
      </c>
      <c r="I203" s="41">
        <f>SUMIF($J$6:$J$191,"PRSP",$I$6:$I$191)</f>
        <v>53798</v>
      </c>
      <c r="J203" s="43" t="s">
        <v>7</v>
      </c>
      <c r="K203" s="13"/>
    </row>
    <row r="204" spans="1:12" s="7" customFormat="1" x14ac:dyDescent="0.25">
      <c r="A204" s="24">
        <f>COUNTIF($J$6:$J$192,"SGA")</f>
        <v>1</v>
      </c>
      <c r="B204" s="44" t="s">
        <v>8</v>
      </c>
      <c r="C204" s="41">
        <f>SUMIF($J$6:$J$191,"SGA",$C$6:$C$191)</f>
        <v>55</v>
      </c>
      <c r="D204" s="41">
        <f>SUMIF($J$6:$J$191,"SGA",$D$6:$D$191)</f>
        <v>11</v>
      </c>
      <c r="E204" s="27">
        <f t="shared" si="27"/>
        <v>20</v>
      </c>
      <c r="F204" s="41">
        <f>SUMIF($J$6:$J$191,"SGA",$F$6:$F$191)</f>
        <v>209191</v>
      </c>
      <c r="G204" s="41">
        <f>SUMIF($J$6:$J$191,"SGA",$G$6:$G$191)</f>
        <v>9837</v>
      </c>
      <c r="H204" s="27">
        <f t="shared" si="28"/>
        <v>4.7024011549254032</v>
      </c>
      <c r="I204" s="41">
        <f>SUMIF($J$6:$J$191,"SGA",$I$6:$I$191)</f>
        <v>690</v>
      </c>
      <c r="J204" s="43" t="s">
        <v>8</v>
      </c>
      <c r="K204" s="13"/>
    </row>
    <row r="205" spans="1:12" s="7" customFormat="1" x14ac:dyDescent="0.25">
      <c r="A205" s="24">
        <f>COUNTIF($J$6:$J$192,"SRSO")</f>
        <v>9</v>
      </c>
      <c r="B205" s="44" t="s">
        <v>9</v>
      </c>
      <c r="C205" s="41">
        <f>SUMIF($J$6:$J$191,"SRSO",$C$6:$C$191)</f>
        <v>431</v>
      </c>
      <c r="D205" s="41">
        <f>SUMIF($J$6:$J$191,"SRSO",$D$6:$D$191)</f>
        <v>312</v>
      </c>
      <c r="E205" s="27">
        <f t="shared" si="27"/>
        <v>72.389791183294676</v>
      </c>
      <c r="F205" s="41">
        <f>SUMIF($J$6:$J$191,"SRSO",$F$6:$F$191)</f>
        <v>1183970.1255411254</v>
      </c>
      <c r="G205" s="41">
        <f ca="1">SUMIF($J$6:$J$191,"SRSO",$G$6:$G$76)</f>
        <v>409843</v>
      </c>
      <c r="H205" s="27">
        <f t="shared" ca="1" si="28"/>
        <v>34.61599166724617</v>
      </c>
      <c r="I205" s="41">
        <f ca="1">SUMIF($J$6:$J$191,"SRSO",$I$6:$I$76)</f>
        <v>23734</v>
      </c>
      <c r="J205" s="43" t="s">
        <v>9</v>
      </c>
      <c r="K205" s="13"/>
    </row>
    <row r="206" spans="1:12" s="7" customFormat="1" x14ac:dyDescent="0.25">
      <c r="A206" s="24">
        <f>COUNTIF($J$6:$J$192,"SRSP")</f>
        <v>19</v>
      </c>
      <c r="B206" s="44" t="s">
        <v>10</v>
      </c>
      <c r="C206" s="41">
        <f>SUMIF($J$6:$J$191,"SRSP",$C$6:$C$191)</f>
        <v>722</v>
      </c>
      <c r="D206" s="41">
        <f>SUMIF($J$6:$J$191,"SRSP",$D$6:$D$191)</f>
        <v>424</v>
      </c>
      <c r="E206" s="27">
        <f t="shared" si="27"/>
        <v>58.72576177285319</v>
      </c>
      <c r="F206" s="41">
        <f>SUMIF($J$6:$J$191,"SRSP",$F$6:$F$191)</f>
        <v>1471226</v>
      </c>
      <c r="G206" s="41">
        <f>SUMIF($J$6:$J$191,"SRSP",$G$6:$G$191)</f>
        <v>511409</v>
      </c>
      <c r="H206" s="27">
        <f t="shared" si="28"/>
        <v>34.760736963593629</v>
      </c>
      <c r="I206" s="41">
        <f>SUMIF($J$6:$J$191,"SRSP",$I$6:$I$191)</f>
        <v>20146</v>
      </c>
      <c r="J206" s="43" t="s">
        <v>10</v>
      </c>
      <c r="K206" s="13"/>
      <c r="L206" s="134"/>
    </row>
    <row r="207" spans="1:12" s="7" customFormat="1" x14ac:dyDescent="0.25">
      <c r="A207" s="24">
        <f>COUNTIF($J$6:$J$192,"TRDP")</f>
        <v>4</v>
      </c>
      <c r="B207" s="44" t="s">
        <v>11</v>
      </c>
      <c r="C207" s="41">
        <f>SUMIF($J$6:$J$191,"TRDP",$C$6:$C$191)</f>
        <v>151</v>
      </c>
      <c r="D207" s="41">
        <f>SUMIF($J$6:$J$191,"TRDP",$D$6:$D$191)</f>
        <v>112</v>
      </c>
      <c r="E207" s="27">
        <f t="shared" si="27"/>
        <v>74.172185430463571</v>
      </c>
      <c r="F207" s="41">
        <f>SUMIF($J$6:$J$191,"TRDP",$F$6:$F$191)</f>
        <v>519666</v>
      </c>
      <c r="G207" s="41">
        <f>SUMIF($J$6:$J$191,"TRDP",$G$6:$G$191)</f>
        <v>251343</v>
      </c>
      <c r="H207" s="27">
        <f t="shared" si="28"/>
        <v>48.36625832746418</v>
      </c>
      <c r="I207" s="41">
        <f>SUMIF($J$6:$J$191,"TRDP",$I$6:$I$191)</f>
        <v>15369</v>
      </c>
      <c r="J207" s="43" t="s">
        <v>11</v>
      </c>
      <c r="K207" s="13"/>
    </row>
    <row r="208" spans="1:12" s="8" customFormat="1" ht="14.4" thickBot="1" x14ac:dyDescent="0.3">
      <c r="A208" s="30">
        <f>SUM(A198:A207)-21</f>
        <v>110</v>
      </c>
      <c r="B208" s="31" t="s">
        <v>185</v>
      </c>
      <c r="C208" s="74">
        <f>C220</f>
        <v>5565</v>
      </c>
      <c r="D208" s="74">
        <f>D220</f>
        <v>3526</v>
      </c>
      <c r="E208" s="33">
        <f t="shared" si="27"/>
        <v>63.360287511230908</v>
      </c>
      <c r="F208" s="74">
        <f>F220</f>
        <v>11316460.594703551</v>
      </c>
      <c r="G208" s="32">
        <f ca="1">SUM(G198:G207)</f>
        <v>4167155</v>
      </c>
      <c r="H208" s="33">
        <f t="shared" ca="1" si="28"/>
        <v>36.823836968516069</v>
      </c>
      <c r="I208" s="32">
        <f ca="1">SUM(I198:I207)</f>
        <v>258403</v>
      </c>
      <c r="J208" s="75"/>
      <c r="K208" s="13"/>
    </row>
    <row r="209" spans="1:11" s="8" customFormat="1" ht="9" customHeight="1" x14ac:dyDescent="0.25">
      <c r="A209" s="46"/>
      <c r="B209" s="63"/>
      <c r="C209" s="46"/>
      <c r="D209" s="46"/>
      <c r="E209" s="125"/>
      <c r="F209" s="46"/>
      <c r="G209" s="46"/>
      <c r="H209" s="126"/>
      <c r="I209" s="46"/>
      <c r="J209" s="127"/>
    </row>
    <row r="210" spans="1:11" ht="18" customHeight="1" thickBot="1" x14ac:dyDescent="0.35">
      <c r="A210" s="128" t="s">
        <v>234</v>
      </c>
      <c r="B210" s="15"/>
      <c r="C210" s="79"/>
      <c r="D210" s="79"/>
      <c r="E210" s="36"/>
      <c r="F210" s="79"/>
      <c r="G210" s="79"/>
      <c r="H210" s="80"/>
      <c r="I210" s="79"/>
      <c r="J210" s="16"/>
    </row>
    <row r="211" spans="1:11" ht="41.4" x14ac:dyDescent="0.25">
      <c r="A211" s="130" t="s">
        <v>232</v>
      </c>
      <c r="B211" s="144" t="s">
        <v>236</v>
      </c>
      <c r="C211" s="69"/>
      <c r="D211" s="69"/>
      <c r="E211" s="71"/>
      <c r="F211" s="69"/>
      <c r="G211" s="69"/>
      <c r="H211" s="145"/>
      <c r="I211" s="69"/>
      <c r="J211" s="146" t="s">
        <v>233</v>
      </c>
      <c r="K211" s="1" t="s">
        <v>187</v>
      </c>
    </row>
    <row r="212" spans="1:11" x14ac:dyDescent="0.25">
      <c r="A212" s="24">
        <f>A7</f>
        <v>1</v>
      </c>
      <c r="B212" s="44" t="s">
        <v>49</v>
      </c>
      <c r="C212" s="26">
        <f>C7</f>
        <v>12</v>
      </c>
      <c r="D212" s="26">
        <f>D7</f>
        <v>12</v>
      </c>
      <c r="E212" s="27">
        <f t="shared" ref="E212:E220" si="29">D212/C212%</f>
        <v>100</v>
      </c>
      <c r="F212" s="26">
        <f>F7</f>
        <v>43884</v>
      </c>
      <c r="G212" s="26">
        <f>G7</f>
        <v>13848</v>
      </c>
      <c r="H212" s="27">
        <f t="shared" ref="H212:H220" si="30">G212/F212%</f>
        <v>31.555920153130984</v>
      </c>
      <c r="I212" s="26">
        <f>I7</f>
        <v>896</v>
      </c>
      <c r="J212" s="124">
        <f>A7</f>
        <v>1</v>
      </c>
    </row>
    <row r="213" spans="1:11" x14ac:dyDescent="0.25">
      <c r="A213" s="24">
        <f>A40</f>
        <v>16</v>
      </c>
      <c r="B213" s="44" t="s">
        <v>188</v>
      </c>
      <c r="C213" s="26">
        <f t="shared" ref="C213" si="31">C40</f>
        <v>547</v>
      </c>
      <c r="D213" s="26">
        <f t="shared" ref="D213" si="32">D40</f>
        <v>245</v>
      </c>
      <c r="E213" s="27">
        <f t="shared" si="29"/>
        <v>44.789762340036567</v>
      </c>
      <c r="F213" s="26">
        <f t="shared" ref="F213:G213" si="33">F40</f>
        <v>523953.125</v>
      </c>
      <c r="G213" s="26">
        <f t="shared" si="33"/>
        <v>229315</v>
      </c>
      <c r="H213" s="27">
        <f t="shared" si="30"/>
        <v>43.766319744729074</v>
      </c>
      <c r="I213" s="26">
        <f t="shared" ref="I213" si="34">I40</f>
        <v>13169</v>
      </c>
      <c r="J213" s="123">
        <f>A39</f>
        <v>30</v>
      </c>
    </row>
    <row r="214" spans="1:11" x14ac:dyDescent="0.25">
      <c r="A214" s="24">
        <f>A74</f>
        <v>19</v>
      </c>
      <c r="B214" s="44" t="s">
        <v>249</v>
      </c>
      <c r="C214" s="26">
        <f t="shared" ref="C214" si="35">C74</f>
        <v>961</v>
      </c>
      <c r="D214" s="26">
        <f t="shared" ref="D214" si="36">D74</f>
        <v>524</v>
      </c>
      <c r="E214" s="27">
        <f t="shared" si="29"/>
        <v>54.526534859521334</v>
      </c>
      <c r="F214" s="26">
        <f t="shared" ref="F214:G214" si="37">F74</f>
        <v>1580629</v>
      </c>
      <c r="G214" s="26">
        <f t="shared" si="37"/>
        <v>646388</v>
      </c>
      <c r="H214" s="27">
        <f t="shared" si="30"/>
        <v>40.894352817770645</v>
      </c>
      <c r="I214" s="26">
        <f t="shared" ref="I214" si="38">I74</f>
        <v>28706</v>
      </c>
      <c r="J214" s="124">
        <f>A73</f>
        <v>24</v>
      </c>
    </row>
    <row r="215" spans="1:11" x14ac:dyDescent="0.25">
      <c r="A215" s="24">
        <f>A100</f>
        <v>22</v>
      </c>
      <c r="B215" s="44" t="s">
        <v>189</v>
      </c>
      <c r="C215" s="26">
        <f t="shared" ref="C215" si="39">C100</f>
        <v>921</v>
      </c>
      <c r="D215" s="26">
        <f t="shared" ref="D215" si="40">D100</f>
        <v>639</v>
      </c>
      <c r="E215" s="27">
        <f t="shared" si="29"/>
        <v>69.381107491856667</v>
      </c>
      <c r="F215" s="26">
        <f t="shared" ref="F215:G215" si="41">F100</f>
        <v>2816903.1255411254</v>
      </c>
      <c r="G215" s="26">
        <f t="shared" si="41"/>
        <v>861673</v>
      </c>
      <c r="H215" s="27">
        <f t="shared" si="30"/>
        <v>30.589372853724715</v>
      </c>
      <c r="I215" s="26">
        <f t="shared" ref="I215" si="42">I100</f>
        <v>51823</v>
      </c>
      <c r="J215" s="124">
        <f>A99</f>
        <v>23</v>
      </c>
    </row>
    <row r="216" spans="1:11" x14ac:dyDescent="0.25">
      <c r="A216" s="24">
        <f>A148</f>
        <v>34</v>
      </c>
      <c r="B216" s="44" t="s">
        <v>190</v>
      </c>
      <c r="C216" s="26">
        <f t="shared" ref="C216" si="43">C148</f>
        <v>2635</v>
      </c>
      <c r="D216" s="26">
        <f t="shared" ref="D216" si="44">D148</f>
        <v>1827</v>
      </c>
      <c r="E216" s="27">
        <f t="shared" si="29"/>
        <v>69.335863377609101</v>
      </c>
      <c r="F216" s="26">
        <f t="shared" ref="F216:G216" si="45">F148</f>
        <v>5795060.8585411254</v>
      </c>
      <c r="G216" s="26">
        <f t="shared" si="45"/>
        <v>2104071</v>
      </c>
      <c r="H216" s="27">
        <f t="shared" si="30"/>
        <v>36.308005236888718</v>
      </c>
      <c r="I216" s="26">
        <f t="shared" ref="I216" si="46">I148</f>
        <v>148534</v>
      </c>
      <c r="J216" s="124">
        <f>A147</f>
        <v>36</v>
      </c>
    </row>
    <row r="217" spans="1:11" x14ac:dyDescent="0.25">
      <c r="A217" s="24">
        <f>A166</f>
        <v>10</v>
      </c>
      <c r="B217" s="44" t="s">
        <v>250</v>
      </c>
      <c r="C217" s="26">
        <f t="shared" ref="C217" si="47">C166</f>
        <v>196</v>
      </c>
      <c r="D217" s="26">
        <f t="shared" ref="D217" si="48">D166</f>
        <v>179</v>
      </c>
      <c r="E217" s="27">
        <f t="shared" si="29"/>
        <v>91.326530612244895</v>
      </c>
      <c r="F217" s="26">
        <f t="shared" ref="F217:G217" si="49">F166</f>
        <v>398969.65165781637</v>
      </c>
      <c r="G217" s="26">
        <f t="shared" si="49"/>
        <v>230231</v>
      </c>
      <c r="H217" s="27">
        <f t="shared" si="30"/>
        <v>57.706394219042458</v>
      </c>
      <c r="I217" s="26">
        <f t="shared" ref="I217" si="50">I166</f>
        <v>11770</v>
      </c>
      <c r="J217" s="124">
        <f>A165</f>
        <v>10</v>
      </c>
    </row>
    <row r="218" spans="1:11" x14ac:dyDescent="0.25">
      <c r="A218" s="24">
        <f>A176</f>
        <v>6</v>
      </c>
      <c r="B218" s="44" t="s">
        <v>191</v>
      </c>
      <c r="C218" s="26">
        <f t="shared" ref="C218" si="51">C176</f>
        <v>103</v>
      </c>
      <c r="D218" s="26">
        <f t="shared" ref="D218" si="52">D176</f>
        <v>94</v>
      </c>
      <c r="E218" s="27">
        <f t="shared" si="29"/>
        <v>91.262135922330089</v>
      </c>
      <c r="F218" s="26">
        <f t="shared" ref="F218:G218" si="53">F176</f>
        <v>108649.83396348439</v>
      </c>
      <c r="G218" s="26">
        <f t="shared" si="53"/>
        <v>75781</v>
      </c>
      <c r="H218" s="27">
        <f t="shared" si="30"/>
        <v>69.747920669136846</v>
      </c>
      <c r="I218" s="26">
        <f t="shared" ref="I218" si="54">I176</f>
        <v>3282</v>
      </c>
      <c r="J218" s="124">
        <f>A175</f>
        <v>7</v>
      </c>
    </row>
    <row r="219" spans="1:11" x14ac:dyDescent="0.25">
      <c r="A219" s="24">
        <f>A192</f>
        <v>2</v>
      </c>
      <c r="B219" s="44" t="s">
        <v>251</v>
      </c>
      <c r="C219" s="26">
        <f t="shared" ref="C219" si="55">C192</f>
        <v>190</v>
      </c>
      <c r="D219" s="26">
        <f t="shared" ref="D219" si="56">D192</f>
        <v>6</v>
      </c>
      <c r="E219" s="27">
        <f t="shared" si="29"/>
        <v>3.1578947368421053</v>
      </c>
      <c r="F219" s="26">
        <f t="shared" ref="F219:G219" si="57">F192</f>
        <v>48411</v>
      </c>
      <c r="G219" s="26">
        <f t="shared" si="57"/>
        <v>5848</v>
      </c>
      <c r="H219" s="27">
        <f t="shared" si="30"/>
        <v>12.079899196463613</v>
      </c>
      <c r="I219" s="26">
        <f t="shared" ref="I219" si="58">I192</f>
        <v>223</v>
      </c>
      <c r="J219" s="124">
        <f>A191</f>
        <v>13</v>
      </c>
    </row>
    <row r="220" spans="1:11" s="5" customFormat="1" ht="14.4" thickBot="1" x14ac:dyDescent="0.3">
      <c r="A220" s="30">
        <f>SUM(A212:A219)</f>
        <v>110</v>
      </c>
      <c r="B220" s="77" t="s">
        <v>252</v>
      </c>
      <c r="C220" s="32">
        <f>SUM(C212:C219)</f>
        <v>5565</v>
      </c>
      <c r="D220" s="32">
        <f>SUM(D212:D219)</f>
        <v>3526</v>
      </c>
      <c r="E220" s="33">
        <f t="shared" si="29"/>
        <v>63.360287511230908</v>
      </c>
      <c r="F220" s="32">
        <f>SUM(F212:F219)</f>
        <v>11316460.594703551</v>
      </c>
      <c r="G220" s="32">
        <f>SUM(G212:G219)</f>
        <v>4167155</v>
      </c>
      <c r="H220" s="33">
        <f t="shared" si="30"/>
        <v>36.823836968516069</v>
      </c>
      <c r="I220" s="32">
        <f>SUM(I212:I219)</f>
        <v>258403</v>
      </c>
      <c r="J220" s="122">
        <f>SUM(J212:J219)</f>
        <v>144</v>
      </c>
    </row>
    <row r="221" spans="1:11" x14ac:dyDescent="0.25">
      <c r="F221" s="12">
        <f>F208-F220</f>
        <v>0</v>
      </c>
      <c r="G221" s="12">
        <f ca="1">G208-G220</f>
        <v>0</v>
      </c>
      <c r="I221" s="12">
        <f ca="1">I208-I220</f>
        <v>0</v>
      </c>
    </row>
    <row r="222" spans="1:11" x14ac:dyDescent="0.25">
      <c r="D222" s="9"/>
      <c r="E222" s="9"/>
      <c r="F222" s="4"/>
    </row>
    <row r="223" spans="1:11" x14ac:dyDescent="0.25">
      <c r="C223" s="9"/>
      <c r="D223" s="9"/>
      <c r="E223" s="9"/>
      <c r="F223" s="4"/>
    </row>
    <row r="224" spans="1:11" x14ac:dyDescent="0.25">
      <c r="B224" s="11"/>
    </row>
    <row r="225" spans="4:4" x14ac:dyDescent="0.25">
      <c r="D225" s="9"/>
    </row>
    <row r="226" spans="4:4" x14ac:dyDescent="0.25">
      <c r="D226" s="9"/>
    </row>
  </sheetData>
  <autoFilter ref="J2:J221"/>
  <mergeCells count="9">
    <mergeCell ref="A1:J1"/>
    <mergeCell ref="A2:A3"/>
    <mergeCell ref="B2:B3"/>
    <mergeCell ref="I2:I3"/>
    <mergeCell ref="J2:J3"/>
    <mergeCell ref="D2:E2"/>
    <mergeCell ref="C2:C3"/>
    <mergeCell ref="G2:H2"/>
    <mergeCell ref="F2:F3"/>
  </mergeCells>
  <pageMargins left="1.1599999999999999" right="0.16" top="0.2" bottom="0.18" header="0.17" footer="0.16"/>
  <pageSetup paperSize="9" scale="74" orientation="landscape" r:id="rId1"/>
  <headerFooter alignWithMargins="0"/>
  <rowBreaks count="6" manualBreakCount="6">
    <brk id="40" max="9" man="1"/>
    <brk id="75" max="9" man="1"/>
    <brk id="100" max="15" man="1"/>
    <brk id="148" max="9" man="1"/>
    <brk id="176" max="9" man="1"/>
    <brk id="19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3"/>
  <sheetViews>
    <sheetView tabSelected="1" view="pageBreakPreview" zoomScaleSheetLayoutView="100" workbookViewId="0">
      <pane xSplit="2" ySplit="3" topLeftCell="D4" activePane="bottomRight" state="frozen"/>
      <selection pane="topRight" activeCell="C1" sqref="C1"/>
      <selection pane="bottomLeft" activeCell="A6" sqref="A6"/>
      <selection pane="bottomRight"/>
    </sheetView>
  </sheetViews>
  <sheetFormatPr defaultColWidth="9.109375" defaultRowHeight="13.8" x14ac:dyDescent="0.3"/>
  <cols>
    <col min="1" max="1" width="37.44140625" style="109" customWidth="1"/>
    <col min="2" max="3" width="12.6640625" style="109" customWidth="1"/>
    <col min="4" max="4" width="10.33203125" style="86" customWidth="1"/>
    <col min="5" max="5" width="16.88671875" style="86" customWidth="1"/>
    <col min="6" max="6" width="22.5546875" style="86" customWidth="1"/>
    <col min="7" max="7" width="11.5546875" style="86" customWidth="1"/>
    <col min="8" max="12" width="10.33203125" style="86" customWidth="1"/>
    <col min="13" max="13" width="12.109375" style="86" bestFit="1" customWidth="1"/>
    <col min="14" max="16384" width="9.109375" style="86"/>
  </cols>
  <sheetData>
    <row r="1" spans="1:14" ht="14.4" thickBot="1" x14ac:dyDescent="0.35">
      <c r="A1" s="110" t="s">
        <v>0</v>
      </c>
      <c r="B1" s="86"/>
      <c r="C1" s="86"/>
      <c r="D1" s="111"/>
      <c r="E1" s="111"/>
      <c r="F1" s="111"/>
      <c r="G1" s="85"/>
      <c r="H1" s="85"/>
      <c r="I1" s="111"/>
      <c r="J1" s="111"/>
      <c r="K1" s="111"/>
      <c r="L1" s="111"/>
    </row>
    <row r="2" spans="1:14" s="112" customFormat="1" x14ac:dyDescent="0.25">
      <c r="A2" s="160" t="s">
        <v>1</v>
      </c>
      <c r="B2" s="161"/>
      <c r="C2" s="120" t="s">
        <v>2</v>
      </c>
      <c r="D2" s="120" t="s">
        <v>3</v>
      </c>
      <c r="E2" s="120" t="s">
        <v>4</v>
      </c>
      <c r="F2" s="120" t="s">
        <v>5</v>
      </c>
      <c r="G2" s="120" t="s">
        <v>6</v>
      </c>
      <c r="H2" s="120" t="s">
        <v>7</v>
      </c>
      <c r="I2" s="120" t="s">
        <v>8</v>
      </c>
      <c r="J2" s="120" t="s">
        <v>9</v>
      </c>
      <c r="K2" s="120" t="s">
        <v>10</v>
      </c>
      <c r="L2" s="120" t="s">
        <v>11</v>
      </c>
      <c r="M2" s="121" t="s">
        <v>19</v>
      </c>
    </row>
    <row r="3" spans="1:14" ht="5.25" customHeight="1" thickBot="1" x14ac:dyDescent="0.35">
      <c r="A3" s="87"/>
      <c r="B3" s="88"/>
      <c r="C3" s="88"/>
    </row>
    <row r="4" spans="1:14" s="89" customFormat="1" x14ac:dyDescent="0.3">
      <c r="A4" s="163" t="s">
        <v>12</v>
      </c>
      <c r="B4" s="164"/>
      <c r="C4" s="114">
        <f>'RSP Districts '!A198</f>
        <v>7</v>
      </c>
      <c r="D4" s="114">
        <f>'RSP Districts '!A199</f>
        <v>7</v>
      </c>
      <c r="E4" s="114">
        <f>'RSP Districts '!A200</f>
        <v>11</v>
      </c>
      <c r="F4" s="114">
        <f>'RSP Districts '!A201</f>
        <v>3</v>
      </c>
      <c r="G4" s="114">
        <f>'RSP Districts '!A202</f>
        <v>48</v>
      </c>
      <c r="H4" s="114">
        <f>'RSP Districts '!A203</f>
        <v>22</v>
      </c>
      <c r="I4" s="114">
        <f>'RSP Districts '!A204</f>
        <v>1</v>
      </c>
      <c r="J4" s="114">
        <f>'RSP Districts '!A205</f>
        <v>9</v>
      </c>
      <c r="K4" s="114">
        <f>'RSP Districts '!A206</f>
        <v>19</v>
      </c>
      <c r="L4" s="114">
        <f>'RSP Districts '!A207</f>
        <v>4</v>
      </c>
      <c r="M4" s="114">
        <f>(C4+D4+E4+F4+G4+H4+I4+J4+K4+L4)-21</f>
        <v>110</v>
      </c>
      <c r="N4" s="131"/>
    </row>
    <row r="5" spans="1:14" s="89" customFormat="1" x14ac:dyDescent="0.3">
      <c r="A5" s="165" t="s">
        <v>13</v>
      </c>
      <c r="B5" s="166"/>
      <c r="C5" s="114">
        <f>'RSP Districts '!D198</f>
        <v>115</v>
      </c>
      <c r="D5" s="114">
        <f>'RSP Districts '!D199</f>
        <v>118</v>
      </c>
      <c r="E5" s="114">
        <f>'RSP Districts '!D200</f>
        <v>170</v>
      </c>
      <c r="F5" s="114">
        <f>'RSP Districts '!D201</f>
        <v>20</v>
      </c>
      <c r="G5" s="114">
        <f>'RSP Districts '!D202</f>
        <v>1806</v>
      </c>
      <c r="H5" s="114">
        <f>'RSP Districts '!D203</f>
        <v>823</v>
      </c>
      <c r="I5" s="114">
        <f>'RSP Districts '!D204</f>
        <v>11</v>
      </c>
      <c r="J5" s="114">
        <f>'RSP Districts '!D205</f>
        <v>312</v>
      </c>
      <c r="K5" s="114">
        <f>'RSP Districts '!D206</f>
        <v>424</v>
      </c>
      <c r="L5" s="114">
        <f>'RSP Districts '!D207</f>
        <v>112</v>
      </c>
      <c r="M5" s="114">
        <f>'RSP Districts '!D208</f>
        <v>3526</v>
      </c>
      <c r="N5" s="131"/>
    </row>
    <row r="6" spans="1:14" s="89" customFormat="1" x14ac:dyDescent="0.3">
      <c r="A6" s="165" t="s">
        <v>241</v>
      </c>
      <c r="B6" s="166"/>
      <c r="C6" s="114">
        <f>'RSP Districts '!G198</f>
        <v>75758</v>
      </c>
      <c r="D6" s="114">
        <f>'RSP Districts '!G199</f>
        <v>108969</v>
      </c>
      <c r="E6" s="114">
        <f>'RSP Districts '!G200</f>
        <v>153800</v>
      </c>
      <c r="F6" s="114">
        <f>'RSP Districts '!G201</f>
        <v>30406</v>
      </c>
      <c r="G6" s="114">
        <f>'RSP Districts '!G202</f>
        <v>1832496</v>
      </c>
      <c r="H6" s="114">
        <f>'RSP Districts '!G203</f>
        <v>783294</v>
      </c>
      <c r="I6" s="114">
        <f>'RSP Districts '!G204</f>
        <v>9837</v>
      </c>
      <c r="J6" s="114">
        <f ca="1">'RSP Districts '!G205</f>
        <v>409843</v>
      </c>
      <c r="K6" s="114">
        <f>'RSP Districts '!G206</f>
        <v>511409</v>
      </c>
      <c r="L6" s="114">
        <f>'RSP Districts '!G207</f>
        <v>251343</v>
      </c>
      <c r="M6" s="114">
        <f t="shared" ref="M6:M7" ca="1" si="0">(C6+D6+E6+F6+G6+H6+I6+J6+K6+L6)</f>
        <v>4167155</v>
      </c>
      <c r="N6" s="131"/>
    </row>
    <row r="7" spans="1:14" s="89" customFormat="1" x14ac:dyDescent="0.3">
      <c r="A7" s="165" t="s">
        <v>14</v>
      </c>
      <c r="B7" s="166"/>
      <c r="C7" s="114">
        <v>32</v>
      </c>
      <c r="D7" s="114">
        <v>44</v>
      </c>
      <c r="E7" s="114">
        <v>12</v>
      </c>
      <c r="F7" s="114">
        <v>2</v>
      </c>
      <c r="G7" s="114">
        <f>394-C7</f>
        <v>362</v>
      </c>
      <c r="H7" s="114">
        <v>21</v>
      </c>
      <c r="I7" s="114">
        <v>0</v>
      </c>
      <c r="J7" s="114">
        <v>0</v>
      </c>
      <c r="K7" s="114">
        <v>32</v>
      </c>
      <c r="L7" s="114">
        <v>15</v>
      </c>
      <c r="M7" s="114">
        <f t="shared" si="0"/>
        <v>520</v>
      </c>
      <c r="N7" s="131"/>
    </row>
    <row r="8" spans="1:14" s="89" customFormat="1" x14ac:dyDescent="0.3">
      <c r="A8" s="167" t="s">
        <v>15</v>
      </c>
      <c r="B8" s="90" t="s">
        <v>16</v>
      </c>
      <c r="C8" s="114">
        <v>1177</v>
      </c>
      <c r="D8" s="114">
        <v>2018</v>
      </c>
      <c r="E8" s="114">
        <v>2929</v>
      </c>
      <c r="F8" s="114">
        <v>1246</v>
      </c>
      <c r="G8" s="114">
        <v>51397</v>
      </c>
      <c r="H8" s="114">
        <v>20790</v>
      </c>
      <c r="I8" s="114">
        <v>345</v>
      </c>
      <c r="J8" s="114">
        <v>18543</v>
      </c>
      <c r="K8" s="114">
        <v>5199</v>
      </c>
      <c r="L8" s="114">
        <v>7744</v>
      </c>
      <c r="M8" s="114">
        <f>SUM(C8:L8)</f>
        <v>111388</v>
      </c>
      <c r="N8" s="132"/>
    </row>
    <row r="9" spans="1:14" s="89" customFormat="1" x14ac:dyDescent="0.3">
      <c r="A9" s="167"/>
      <c r="B9" s="91" t="s">
        <v>17</v>
      </c>
      <c r="C9" s="114">
        <v>1726</v>
      </c>
      <c r="D9" s="114">
        <v>2703</v>
      </c>
      <c r="E9" s="114">
        <v>6384</v>
      </c>
      <c r="F9" s="114">
        <v>1264</v>
      </c>
      <c r="G9" s="114">
        <v>66205</v>
      </c>
      <c r="H9" s="114">
        <v>31896</v>
      </c>
      <c r="I9" s="114">
        <v>345</v>
      </c>
      <c r="J9" s="114">
        <v>5157</v>
      </c>
      <c r="K9" s="114">
        <v>14947</v>
      </c>
      <c r="L9" s="114">
        <v>5674</v>
      </c>
      <c r="M9" s="114">
        <f>SUM(C9:L9)</f>
        <v>136301</v>
      </c>
      <c r="N9" s="132"/>
    </row>
    <row r="10" spans="1:14" s="89" customFormat="1" x14ac:dyDescent="0.3">
      <c r="A10" s="167"/>
      <c r="B10" s="91" t="s">
        <v>18</v>
      </c>
      <c r="C10" s="114">
        <v>814</v>
      </c>
      <c r="D10" s="114">
        <v>0</v>
      </c>
      <c r="E10" s="114">
        <v>0</v>
      </c>
      <c r="F10" s="114">
        <v>0</v>
      </c>
      <c r="G10" s="114">
        <v>6803</v>
      </c>
      <c r="H10" s="114">
        <v>1112</v>
      </c>
      <c r="I10" s="114">
        <v>0</v>
      </c>
      <c r="J10" s="114">
        <v>34</v>
      </c>
      <c r="K10" s="114">
        <v>0</v>
      </c>
      <c r="L10" s="114">
        <v>1951</v>
      </c>
      <c r="M10" s="114">
        <f>SUM(C10:L10)</f>
        <v>10714</v>
      </c>
      <c r="N10" s="133"/>
    </row>
    <row r="11" spans="1:14" s="89" customFormat="1" x14ac:dyDescent="0.3">
      <c r="A11" s="167"/>
      <c r="B11" s="92" t="s">
        <v>19</v>
      </c>
      <c r="C11" s="115">
        <f t="shared" ref="C11:M11" si="1">SUM(C8:C10)</f>
        <v>3717</v>
      </c>
      <c r="D11" s="115">
        <f t="shared" si="1"/>
        <v>4721</v>
      </c>
      <c r="E11" s="115">
        <f t="shared" si="1"/>
        <v>9313</v>
      </c>
      <c r="F11" s="115">
        <f t="shared" si="1"/>
        <v>2510</v>
      </c>
      <c r="G11" s="115">
        <f t="shared" si="1"/>
        <v>124405</v>
      </c>
      <c r="H11" s="115">
        <f t="shared" si="1"/>
        <v>53798</v>
      </c>
      <c r="I11" s="115">
        <f t="shared" si="1"/>
        <v>690</v>
      </c>
      <c r="J11" s="115">
        <f t="shared" si="1"/>
        <v>23734</v>
      </c>
      <c r="K11" s="115">
        <f t="shared" si="1"/>
        <v>20146</v>
      </c>
      <c r="L11" s="115">
        <f t="shared" si="1"/>
        <v>15369</v>
      </c>
      <c r="M11" s="115">
        <f t="shared" si="1"/>
        <v>258403</v>
      </c>
      <c r="N11" s="132"/>
    </row>
    <row r="12" spans="1:14" s="89" customFormat="1" x14ac:dyDescent="0.3">
      <c r="A12" s="167" t="s">
        <v>20</v>
      </c>
      <c r="B12" s="90" t="s">
        <v>21</v>
      </c>
      <c r="C12" s="113">
        <v>33182</v>
      </c>
      <c r="D12" s="113">
        <v>68007</v>
      </c>
      <c r="E12" s="113">
        <v>45650</v>
      </c>
      <c r="F12" s="113">
        <v>21707</v>
      </c>
      <c r="G12" s="113">
        <v>886349</v>
      </c>
      <c r="H12" s="113">
        <v>355793</v>
      </c>
      <c r="I12" s="113">
        <v>9425</v>
      </c>
      <c r="J12" s="113">
        <v>343207</v>
      </c>
      <c r="K12" s="114">
        <v>133217</v>
      </c>
      <c r="L12" s="113">
        <v>159838</v>
      </c>
      <c r="M12" s="114">
        <f>SUM(C12:L12)</f>
        <v>2056375</v>
      </c>
      <c r="N12" s="95"/>
    </row>
    <row r="13" spans="1:14" s="89" customFormat="1" x14ac:dyDescent="0.3">
      <c r="A13" s="167"/>
      <c r="B13" s="91" t="s">
        <v>22</v>
      </c>
      <c r="C13" s="113">
        <v>44267</v>
      </c>
      <c r="D13" s="113">
        <v>108247</v>
      </c>
      <c r="E13" s="113">
        <v>101877</v>
      </c>
      <c r="F13" s="113">
        <v>23893</v>
      </c>
      <c r="G13" s="113">
        <v>946147</v>
      </c>
      <c r="H13" s="113">
        <v>553919</v>
      </c>
      <c r="I13" s="113">
        <v>9425</v>
      </c>
      <c r="J13" s="113">
        <v>89647</v>
      </c>
      <c r="K13" s="114">
        <v>383481</v>
      </c>
      <c r="L13" s="113">
        <v>138269</v>
      </c>
      <c r="M13" s="114">
        <f>SUM(C13:L13)</f>
        <v>2399172</v>
      </c>
    </row>
    <row r="14" spans="1:14" s="89" customFormat="1" x14ac:dyDescent="0.3">
      <c r="A14" s="167"/>
      <c r="B14" s="93" t="s">
        <v>19</v>
      </c>
      <c r="C14" s="115">
        <f t="shared" ref="C14:M14" si="2">SUM(C12:C13)</f>
        <v>77449</v>
      </c>
      <c r="D14" s="115">
        <f t="shared" si="2"/>
        <v>176254</v>
      </c>
      <c r="E14" s="115">
        <f t="shared" si="2"/>
        <v>147527</v>
      </c>
      <c r="F14" s="115">
        <f t="shared" si="2"/>
        <v>45600</v>
      </c>
      <c r="G14" s="115">
        <f t="shared" si="2"/>
        <v>1832496</v>
      </c>
      <c r="H14" s="115">
        <f t="shared" si="2"/>
        <v>909712</v>
      </c>
      <c r="I14" s="115">
        <f t="shared" si="2"/>
        <v>18850</v>
      </c>
      <c r="J14" s="115">
        <f t="shared" si="2"/>
        <v>432854</v>
      </c>
      <c r="K14" s="115">
        <f t="shared" si="2"/>
        <v>516698</v>
      </c>
      <c r="L14" s="115">
        <f t="shared" si="2"/>
        <v>298107</v>
      </c>
      <c r="M14" s="115">
        <f t="shared" si="2"/>
        <v>4455547</v>
      </c>
    </row>
    <row r="15" spans="1:14" s="95" customFormat="1" x14ac:dyDescent="0.3">
      <c r="A15" s="168" t="s">
        <v>23</v>
      </c>
      <c r="B15" s="94" t="s">
        <v>21</v>
      </c>
      <c r="C15" s="113">
        <v>13.22</v>
      </c>
      <c r="D15" s="113">
        <v>129.43899999999999</v>
      </c>
      <c r="E15" s="113">
        <v>4.38</v>
      </c>
      <c r="F15" s="113">
        <v>2.95</v>
      </c>
      <c r="G15" s="113">
        <v>186.31</v>
      </c>
      <c r="H15" s="113">
        <v>42.636347999999998</v>
      </c>
      <c r="I15" s="113">
        <v>0</v>
      </c>
      <c r="J15" s="113">
        <v>32</v>
      </c>
      <c r="K15" s="114">
        <v>33.74</v>
      </c>
      <c r="L15" s="113">
        <v>73.209999999999994</v>
      </c>
      <c r="M15" s="114">
        <f>SUM(C15:L15)</f>
        <v>517.88534800000002</v>
      </c>
    </row>
    <row r="16" spans="1:14" s="95" customFormat="1" x14ac:dyDescent="0.3">
      <c r="A16" s="168"/>
      <c r="B16" s="96" t="s">
        <v>22</v>
      </c>
      <c r="C16" s="113">
        <v>18.085000000000001</v>
      </c>
      <c r="D16" s="113">
        <v>371.08199999999994</v>
      </c>
      <c r="E16" s="113">
        <v>6.6</v>
      </c>
      <c r="F16" s="113">
        <v>4.34</v>
      </c>
      <c r="G16" s="113">
        <v>1064.01</v>
      </c>
      <c r="H16" s="113">
        <v>58.338228000000001</v>
      </c>
      <c r="I16" s="113">
        <v>0</v>
      </c>
      <c r="J16" s="113">
        <v>19</v>
      </c>
      <c r="K16" s="114">
        <v>82.42</v>
      </c>
      <c r="L16" s="113">
        <v>114.45</v>
      </c>
      <c r="M16" s="114">
        <f>SUM(C16:L16)</f>
        <v>1738.3252280000002</v>
      </c>
    </row>
    <row r="17" spans="1:14" s="95" customFormat="1" x14ac:dyDescent="0.3">
      <c r="A17" s="168"/>
      <c r="B17" s="93" t="s">
        <v>19</v>
      </c>
      <c r="C17" s="115">
        <f t="shared" ref="C17:M17" si="3">SUM(C15:C16)</f>
        <v>31.305</v>
      </c>
      <c r="D17" s="115">
        <f t="shared" si="3"/>
        <v>500.52099999999996</v>
      </c>
      <c r="E17" s="115">
        <f t="shared" si="3"/>
        <v>10.98</v>
      </c>
      <c r="F17" s="115">
        <f t="shared" si="3"/>
        <v>7.29</v>
      </c>
      <c r="G17" s="115">
        <f t="shared" si="3"/>
        <v>1250.32</v>
      </c>
      <c r="H17" s="115">
        <f t="shared" si="3"/>
        <v>100.974576</v>
      </c>
      <c r="I17" s="115">
        <f t="shared" si="3"/>
        <v>0</v>
      </c>
      <c r="J17" s="115">
        <f t="shared" si="3"/>
        <v>51</v>
      </c>
      <c r="K17" s="115">
        <f t="shared" si="3"/>
        <v>116.16</v>
      </c>
      <c r="L17" s="115">
        <f t="shared" si="3"/>
        <v>187.66</v>
      </c>
      <c r="M17" s="115">
        <f t="shared" si="3"/>
        <v>2256.2105760000004</v>
      </c>
    </row>
    <row r="18" spans="1:14" s="89" customFormat="1" x14ac:dyDescent="0.3">
      <c r="A18" s="167" t="s">
        <v>24</v>
      </c>
      <c r="B18" s="90" t="s">
        <v>21</v>
      </c>
      <c r="C18" s="113">
        <v>7554</v>
      </c>
      <c r="D18" s="113">
        <v>58754</v>
      </c>
      <c r="E18" s="113">
        <v>2900</v>
      </c>
      <c r="F18" s="113">
        <v>9415</v>
      </c>
      <c r="G18" s="113">
        <v>790338</v>
      </c>
      <c r="H18" s="113">
        <v>134332</v>
      </c>
      <c r="I18" s="113">
        <v>4737</v>
      </c>
      <c r="J18" s="113">
        <v>173340</v>
      </c>
      <c r="K18" s="114">
        <v>48243</v>
      </c>
      <c r="L18" s="113">
        <v>58416</v>
      </c>
      <c r="M18" s="114">
        <f>SUM(C18:L18)</f>
        <v>1288029</v>
      </c>
      <c r="N18" s="95"/>
    </row>
    <row r="19" spans="1:14" s="89" customFormat="1" x14ac:dyDescent="0.3">
      <c r="A19" s="167"/>
      <c r="B19" s="91" t="s">
        <v>22</v>
      </c>
      <c r="C19" s="113">
        <v>3662</v>
      </c>
      <c r="D19" s="113">
        <v>27804</v>
      </c>
      <c r="E19" s="113">
        <v>7040</v>
      </c>
      <c r="F19" s="113">
        <v>3371</v>
      </c>
      <c r="G19" s="113">
        <v>856248</v>
      </c>
      <c r="H19" s="113">
        <v>253573</v>
      </c>
      <c r="I19" s="113">
        <v>4737</v>
      </c>
      <c r="J19" s="113">
        <v>7811</v>
      </c>
      <c r="K19" s="114">
        <v>58225</v>
      </c>
      <c r="L19" s="113">
        <v>75101</v>
      </c>
      <c r="M19" s="114">
        <f>SUM(C19:L19)</f>
        <v>1297572</v>
      </c>
    </row>
    <row r="20" spans="1:14" s="89" customFormat="1" x14ac:dyDescent="0.3">
      <c r="A20" s="167"/>
      <c r="B20" s="92" t="s">
        <v>19</v>
      </c>
      <c r="C20" s="115">
        <f t="shared" ref="C20:M20" si="4">SUM(C18:C19)</f>
        <v>11216</v>
      </c>
      <c r="D20" s="115">
        <f t="shared" si="4"/>
        <v>86558</v>
      </c>
      <c r="E20" s="115">
        <f t="shared" si="4"/>
        <v>9940</v>
      </c>
      <c r="F20" s="115">
        <f t="shared" si="4"/>
        <v>12786</v>
      </c>
      <c r="G20" s="115">
        <f t="shared" si="4"/>
        <v>1646586</v>
      </c>
      <c r="H20" s="115">
        <f t="shared" si="4"/>
        <v>387905</v>
      </c>
      <c r="I20" s="115">
        <f t="shared" si="4"/>
        <v>9474</v>
      </c>
      <c r="J20" s="115">
        <f t="shared" si="4"/>
        <v>181151</v>
      </c>
      <c r="K20" s="115">
        <f t="shared" si="4"/>
        <v>106468</v>
      </c>
      <c r="L20" s="115">
        <f t="shared" si="4"/>
        <v>133517</v>
      </c>
      <c r="M20" s="115">
        <f t="shared" si="4"/>
        <v>2585601</v>
      </c>
      <c r="N20" s="95"/>
    </row>
    <row r="21" spans="1:14" s="95" customFormat="1" x14ac:dyDescent="0.3">
      <c r="A21" s="169" t="s">
        <v>25</v>
      </c>
      <c r="B21" s="94" t="s">
        <v>21</v>
      </c>
      <c r="C21" s="113">
        <v>31.344999999999999</v>
      </c>
      <c r="D21" s="113">
        <v>195</v>
      </c>
      <c r="E21" s="113">
        <v>9.34</v>
      </c>
      <c r="F21" s="113">
        <v>182.44499999999999</v>
      </c>
      <c r="G21" s="113">
        <v>16768.09921</v>
      </c>
      <c r="H21" s="113">
        <v>2719.288</v>
      </c>
      <c r="I21" s="113">
        <v>0</v>
      </c>
      <c r="J21" s="113">
        <v>658.54052200000001</v>
      </c>
      <c r="K21" s="114">
        <v>280.55</v>
      </c>
      <c r="L21" s="113">
        <v>1194.54</v>
      </c>
      <c r="M21" s="114">
        <f>SUM(C21:L21)</f>
        <v>22039.147732000001</v>
      </c>
    </row>
    <row r="22" spans="1:14" s="95" customFormat="1" x14ac:dyDescent="0.3">
      <c r="A22" s="169"/>
      <c r="B22" s="96" t="s">
        <v>22</v>
      </c>
      <c r="C22" s="113">
        <v>57.625999999999998</v>
      </c>
      <c r="D22" s="113">
        <v>833</v>
      </c>
      <c r="E22" s="113">
        <v>16.010000000000002</v>
      </c>
      <c r="F22" s="113">
        <v>66.039000000000001</v>
      </c>
      <c r="G22" s="113">
        <v>36274.600702000003</v>
      </c>
      <c r="H22" s="113">
        <v>4161.723</v>
      </c>
      <c r="I22" s="113">
        <v>0</v>
      </c>
      <c r="J22" s="113">
        <v>455.1986</v>
      </c>
      <c r="K22" s="114">
        <v>322.20999999999998</v>
      </c>
      <c r="L22" s="113">
        <v>1718.39</v>
      </c>
      <c r="M22" s="114">
        <f>SUM(C22:L22)</f>
        <v>43904.797302000006</v>
      </c>
    </row>
    <row r="23" spans="1:14" s="95" customFormat="1" x14ac:dyDescent="0.3">
      <c r="A23" s="169"/>
      <c r="B23" s="97" t="s">
        <v>19</v>
      </c>
      <c r="C23" s="115">
        <f t="shared" ref="C23:M23" si="5">SUM(C21:C22)</f>
        <v>88.971000000000004</v>
      </c>
      <c r="D23" s="115">
        <f t="shared" si="5"/>
        <v>1028</v>
      </c>
      <c r="E23" s="115">
        <f t="shared" si="5"/>
        <v>25.35</v>
      </c>
      <c r="F23" s="115">
        <f t="shared" si="5"/>
        <v>248.48399999999998</v>
      </c>
      <c r="G23" s="115">
        <f t="shared" si="5"/>
        <v>53042.699912000004</v>
      </c>
      <c r="H23" s="115">
        <f t="shared" si="5"/>
        <v>6881.0110000000004</v>
      </c>
      <c r="I23" s="115">
        <f t="shared" si="5"/>
        <v>0</v>
      </c>
      <c r="J23" s="115">
        <f t="shared" si="5"/>
        <v>1113.739122</v>
      </c>
      <c r="K23" s="115">
        <f t="shared" si="5"/>
        <v>602.76</v>
      </c>
      <c r="L23" s="115">
        <f t="shared" si="5"/>
        <v>2912.9300000000003</v>
      </c>
      <c r="M23" s="115">
        <f t="shared" si="5"/>
        <v>65943.945034000004</v>
      </c>
    </row>
    <row r="24" spans="1:14" s="89" customFormat="1" x14ac:dyDescent="0.3">
      <c r="A24" s="167" t="s">
        <v>26</v>
      </c>
      <c r="B24" s="90" t="s">
        <v>21</v>
      </c>
      <c r="C24" s="113">
        <v>1530</v>
      </c>
      <c r="D24" s="113">
        <v>74813.440000000002</v>
      </c>
      <c r="E24" s="113">
        <v>1156</v>
      </c>
      <c r="F24" s="113">
        <v>12484</v>
      </c>
      <c r="G24" s="113">
        <v>1281810</v>
      </c>
      <c r="H24" s="113">
        <v>218204</v>
      </c>
      <c r="I24" s="113">
        <v>0</v>
      </c>
      <c r="J24" s="113">
        <v>51800</v>
      </c>
      <c r="K24" s="114">
        <v>27554</v>
      </c>
      <c r="L24" s="113">
        <v>102254</v>
      </c>
      <c r="M24" s="114">
        <f>SUM(C24:L24)</f>
        <v>1771605.44</v>
      </c>
    </row>
    <row r="25" spans="1:14" s="89" customFormat="1" x14ac:dyDescent="0.3">
      <c r="A25" s="167"/>
      <c r="B25" s="91" t="s">
        <v>22</v>
      </c>
      <c r="C25" s="113">
        <v>2832</v>
      </c>
      <c r="D25" s="113">
        <v>546310.56000000006</v>
      </c>
      <c r="E25" s="113">
        <v>1600</v>
      </c>
      <c r="F25" s="113">
        <v>4923</v>
      </c>
      <c r="G25" s="113">
        <v>2228035</v>
      </c>
      <c r="H25" s="113">
        <v>322881</v>
      </c>
      <c r="I25" s="113">
        <v>0</v>
      </c>
      <c r="J25" s="113">
        <v>35417</v>
      </c>
      <c r="K25" s="114">
        <v>30653</v>
      </c>
      <c r="L25" s="113">
        <v>104756</v>
      </c>
      <c r="M25" s="114">
        <f>SUM(C25:L25)</f>
        <v>3277407.56</v>
      </c>
    </row>
    <row r="26" spans="1:14" s="89" customFormat="1" x14ac:dyDescent="0.3">
      <c r="A26" s="167"/>
      <c r="B26" s="92" t="s">
        <v>19</v>
      </c>
      <c r="C26" s="115">
        <f t="shared" ref="C26:M26" si="6">SUM(C24:C25)</f>
        <v>4362</v>
      </c>
      <c r="D26" s="115">
        <f t="shared" si="6"/>
        <v>621124</v>
      </c>
      <c r="E26" s="115">
        <f t="shared" si="6"/>
        <v>2756</v>
      </c>
      <c r="F26" s="115">
        <f t="shared" si="6"/>
        <v>17407</v>
      </c>
      <c r="G26" s="115">
        <f t="shared" si="6"/>
        <v>3509845</v>
      </c>
      <c r="H26" s="115">
        <f t="shared" si="6"/>
        <v>541085</v>
      </c>
      <c r="I26" s="115">
        <f t="shared" si="6"/>
        <v>0</v>
      </c>
      <c r="J26" s="115">
        <f t="shared" si="6"/>
        <v>87217</v>
      </c>
      <c r="K26" s="115">
        <f t="shared" si="6"/>
        <v>58207</v>
      </c>
      <c r="L26" s="115">
        <f t="shared" si="6"/>
        <v>207010</v>
      </c>
      <c r="M26" s="115">
        <f t="shared" si="6"/>
        <v>5049013</v>
      </c>
    </row>
    <row r="27" spans="1:14" s="89" customFormat="1" hidden="1" x14ac:dyDescent="0.3">
      <c r="A27" s="167" t="s">
        <v>27</v>
      </c>
      <c r="B27" s="90" t="s">
        <v>21</v>
      </c>
      <c r="C27" s="116">
        <v>0</v>
      </c>
      <c r="D27" s="113"/>
      <c r="E27" s="116">
        <v>0</v>
      </c>
      <c r="F27" s="116">
        <v>0</v>
      </c>
      <c r="G27" s="113"/>
      <c r="H27" s="116">
        <v>0</v>
      </c>
      <c r="I27" s="116">
        <v>0</v>
      </c>
      <c r="J27" s="116">
        <v>0</v>
      </c>
      <c r="K27" s="114">
        <v>0</v>
      </c>
      <c r="L27" s="116">
        <v>0</v>
      </c>
      <c r="M27" s="114">
        <f t="shared" ref="M27:M35" si="7">(C27+D27+E27+F27+G27+H27+I27+J27+K27+L27)</f>
        <v>0</v>
      </c>
    </row>
    <row r="28" spans="1:14" s="89" customFormat="1" hidden="1" x14ac:dyDescent="0.3">
      <c r="A28" s="167"/>
      <c r="B28" s="91" t="s">
        <v>22</v>
      </c>
      <c r="C28" s="116">
        <v>0</v>
      </c>
      <c r="D28" s="113"/>
      <c r="E28" s="116">
        <v>0</v>
      </c>
      <c r="F28" s="116">
        <v>0</v>
      </c>
      <c r="G28" s="113"/>
      <c r="H28" s="116">
        <v>0</v>
      </c>
      <c r="I28" s="116">
        <v>0</v>
      </c>
      <c r="J28" s="116">
        <v>0</v>
      </c>
      <c r="K28" s="114">
        <v>0</v>
      </c>
      <c r="L28" s="116">
        <v>0</v>
      </c>
      <c r="M28" s="114">
        <f t="shared" si="7"/>
        <v>0</v>
      </c>
    </row>
    <row r="29" spans="1:14" s="89" customFormat="1" hidden="1" x14ac:dyDescent="0.3">
      <c r="A29" s="167"/>
      <c r="B29" s="98" t="s">
        <v>19</v>
      </c>
      <c r="C29" s="116">
        <v>0</v>
      </c>
      <c r="D29" s="117"/>
      <c r="E29" s="116">
        <v>0</v>
      </c>
      <c r="F29" s="116">
        <v>0</v>
      </c>
      <c r="G29" s="117"/>
      <c r="H29" s="116">
        <v>0</v>
      </c>
      <c r="I29" s="116">
        <v>0</v>
      </c>
      <c r="J29" s="116">
        <v>0</v>
      </c>
      <c r="K29" s="114">
        <v>0</v>
      </c>
      <c r="L29" s="116">
        <v>0</v>
      </c>
      <c r="M29" s="114">
        <f t="shared" si="7"/>
        <v>0</v>
      </c>
    </row>
    <row r="30" spans="1:14" s="95" customFormat="1" hidden="1" x14ac:dyDescent="0.3">
      <c r="A30" s="162" t="s">
        <v>28</v>
      </c>
      <c r="B30" s="94" t="s">
        <v>21</v>
      </c>
      <c r="C30" s="116">
        <v>0</v>
      </c>
      <c r="D30" s="113"/>
      <c r="E30" s="116">
        <v>0</v>
      </c>
      <c r="F30" s="116">
        <v>0</v>
      </c>
      <c r="G30" s="113"/>
      <c r="H30" s="116">
        <v>0</v>
      </c>
      <c r="I30" s="116">
        <v>0</v>
      </c>
      <c r="J30" s="116">
        <v>0</v>
      </c>
      <c r="K30" s="114">
        <v>0</v>
      </c>
      <c r="L30" s="116">
        <v>0</v>
      </c>
      <c r="M30" s="114">
        <f t="shared" si="7"/>
        <v>0</v>
      </c>
    </row>
    <row r="31" spans="1:14" s="95" customFormat="1" hidden="1" x14ac:dyDescent="0.3">
      <c r="A31" s="162"/>
      <c r="B31" s="96" t="s">
        <v>22</v>
      </c>
      <c r="C31" s="116">
        <v>0</v>
      </c>
      <c r="D31" s="113"/>
      <c r="E31" s="116">
        <v>0</v>
      </c>
      <c r="F31" s="116">
        <v>0</v>
      </c>
      <c r="G31" s="113"/>
      <c r="H31" s="116">
        <v>0</v>
      </c>
      <c r="I31" s="116">
        <v>0</v>
      </c>
      <c r="J31" s="116">
        <v>0</v>
      </c>
      <c r="K31" s="114">
        <v>0</v>
      </c>
      <c r="L31" s="116">
        <v>0</v>
      </c>
      <c r="M31" s="114">
        <f t="shared" si="7"/>
        <v>0</v>
      </c>
    </row>
    <row r="32" spans="1:14" s="95" customFormat="1" hidden="1" x14ac:dyDescent="0.3">
      <c r="A32" s="162"/>
      <c r="B32" s="99" t="s">
        <v>19</v>
      </c>
      <c r="C32" s="116">
        <v>0</v>
      </c>
      <c r="D32" s="117"/>
      <c r="E32" s="116">
        <v>0</v>
      </c>
      <c r="F32" s="116">
        <v>0</v>
      </c>
      <c r="G32" s="117"/>
      <c r="H32" s="116">
        <v>0</v>
      </c>
      <c r="I32" s="116">
        <v>0</v>
      </c>
      <c r="J32" s="116">
        <v>0</v>
      </c>
      <c r="K32" s="114">
        <v>0</v>
      </c>
      <c r="L32" s="116">
        <v>0</v>
      </c>
      <c r="M32" s="114">
        <f t="shared" si="7"/>
        <v>0</v>
      </c>
    </row>
    <row r="33" spans="1:14" s="101" customFormat="1" hidden="1" x14ac:dyDescent="0.3">
      <c r="A33" s="174" t="s">
        <v>29</v>
      </c>
      <c r="B33" s="100" t="s">
        <v>21</v>
      </c>
      <c r="C33" s="116">
        <v>0</v>
      </c>
      <c r="D33" s="118"/>
      <c r="E33" s="116">
        <v>0</v>
      </c>
      <c r="F33" s="116">
        <v>0</v>
      </c>
      <c r="G33" s="113"/>
      <c r="H33" s="116">
        <v>0</v>
      </c>
      <c r="I33" s="116">
        <v>0</v>
      </c>
      <c r="J33" s="116">
        <v>0</v>
      </c>
      <c r="K33" s="114">
        <v>0</v>
      </c>
      <c r="L33" s="116">
        <v>0</v>
      </c>
      <c r="M33" s="114">
        <f t="shared" si="7"/>
        <v>0</v>
      </c>
    </row>
    <row r="34" spans="1:14" s="101" customFormat="1" hidden="1" x14ac:dyDescent="0.3">
      <c r="A34" s="174"/>
      <c r="B34" s="102" t="s">
        <v>22</v>
      </c>
      <c r="C34" s="116">
        <v>0</v>
      </c>
      <c r="D34" s="118"/>
      <c r="E34" s="116">
        <v>0</v>
      </c>
      <c r="F34" s="116">
        <v>0</v>
      </c>
      <c r="G34" s="113"/>
      <c r="H34" s="116">
        <v>0</v>
      </c>
      <c r="I34" s="116">
        <v>0</v>
      </c>
      <c r="J34" s="116">
        <v>0</v>
      </c>
      <c r="K34" s="114">
        <v>0</v>
      </c>
      <c r="L34" s="116">
        <v>0</v>
      </c>
      <c r="M34" s="114">
        <f t="shared" si="7"/>
        <v>0</v>
      </c>
    </row>
    <row r="35" spans="1:14" s="101" customFormat="1" hidden="1" x14ac:dyDescent="0.3">
      <c r="A35" s="174"/>
      <c r="B35" s="103" t="s">
        <v>19</v>
      </c>
      <c r="C35" s="116">
        <v>0</v>
      </c>
      <c r="D35" s="117"/>
      <c r="E35" s="116">
        <v>0</v>
      </c>
      <c r="F35" s="116">
        <v>0</v>
      </c>
      <c r="G35" s="117"/>
      <c r="H35" s="116">
        <v>0</v>
      </c>
      <c r="I35" s="116">
        <v>0</v>
      </c>
      <c r="J35" s="116">
        <v>0</v>
      </c>
      <c r="K35" s="114">
        <v>0</v>
      </c>
      <c r="L35" s="116">
        <v>0</v>
      </c>
      <c r="M35" s="114">
        <f t="shared" si="7"/>
        <v>0</v>
      </c>
    </row>
    <row r="36" spans="1:14" s="89" customFormat="1" ht="13.2" customHeight="1" x14ac:dyDescent="0.3">
      <c r="A36" s="169" t="s">
        <v>30</v>
      </c>
      <c r="B36" s="90" t="s">
        <v>21</v>
      </c>
      <c r="C36" s="113">
        <v>0</v>
      </c>
      <c r="D36" s="113">
        <v>0</v>
      </c>
      <c r="E36" s="113">
        <v>0</v>
      </c>
      <c r="F36" s="113">
        <v>9389</v>
      </c>
      <c r="G36" s="113">
        <v>1272570</v>
      </c>
      <c r="H36" s="113">
        <v>0</v>
      </c>
      <c r="I36" s="113">
        <v>0</v>
      </c>
      <c r="J36" s="113">
        <v>287183</v>
      </c>
      <c r="K36" s="114">
        <v>1393</v>
      </c>
      <c r="L36" s="113">
        <v>55604</v>
      </c>
      <c r="M36" s="114">
        <f>SUM(C36:L36)</f>
        <v>1626139</v>
      </c>
      <c r="N36" s="95"/>
    </row>
    <row r="37" spans="1:14" s="89" customFormat="1" x14ac:dyDescent="0.3">
      <c r="A37" s="169"/>
      <c r="B37" s="91" t="s">
        <v>22</v>
      </c>
      <c r="C37" s="113">
        <v>0</v>
      </c>
      <c r="D37" s="113">
        <v>0</v>
      </c>
      <c r="E37" s="113">
        <v>0</v>
      </c>
      <c r="F37" s="113">
        <v>5625</v>
      </c>
      <c r="G37" s="113">
        <v>2226001</v>
      </c>
      <c r="H37" s="113">
        <v>0</v>
      </c>
      <c r="I37" s="113">
        <v>0</v>
      </c>
      <c r="J37" s="113">
        <v>230751</v>
      </c>
      <c r="K37" s="114">
        <v>2178</v>
      </c>
      <c r="L37" s="113">
        <v>63530</v>
      </c>
      <c r="M37" s="114">
        <f>SUM(C37:L37)</f>
        <v>2528085</v>
      </c>
      <c r="N37" s="95"/>
    </row>
    <row r="38" spans="1:14" s="89" customFormat="1" x14ac:dyDescent="0.3">
      <c r="A38" s="169"/>
      <c r="B38" s="92" t="s">
        <v>19</v>
      </c>
      <c r="C38" s="115">
        <f t="shared" ref="C38:M38" si="8">SUM(C36:C37)</f>
        <v>0</v>
      </c>
      <c r="D38" s="115">
        <f t="shared" si="8"/>
        <v>0</v>
      </c>
      <c r="E38" s="115">
        <f t="shared" si="8"/>
        <v>0</v>
      </c>
      <c r="F38" s="115">
        <f t="shared" si="8"/>
        <v>15014</v>
      </c>
      <c r="G38" s="115">
        <f t="shared" si="8"/>
        <v>3498571</v>
      </c>
      <c r="H38" s="115">
        <f t="shared" si="8"/>
        <v>0</v>
      </c>
      <c r="I38" s="115">
        <f t="shared" si="8"/>
        <v>0</v>
      </c>
      <c r="J38" s="115">
        <f t="shared" si="8"/>
        <v>517934</v>
      </c>
      <c r="K38" s="115">
        <f t="shared" si="8"/>
        <v>3571</v>
      </c>
      <c r="L38" s="115">
        <f t="shared" si="8"/>
        <v>119134</v>
      </c>
      <c r="M38" s="115">
        <f t="shared" si="8"/>
        <v>4154224</v>
      </c>
      <c r="N38" s="95"/>
    </row>
    <row r="39" spans="1:14" s="104" customFormat="1" x14ac:dyDescent="0.3">
      <c r="A39" s="175" t="s">
        <v>31</v>
      </c>
      <c r="B39" s="176"/>
      <c r="C39" s="113">
        <v>861</v>
      </c>
      <c r="D39" s="113">
        <v>3576</v>
      </c>
      <c r="E39" s="113">
        <v>945</v>
      </c>
      <c r="F39" s="113">
        <v>455</v>
      </c>
      <c r="G39" s="113">
        <v>23143</v>
      </c>
      <c r="H39" s="113">
        <v>6268</v>
      </c>
      <c r="I39" s="113">
        <v>0</v>
      </c>
      <c r="J39" s="113">
        <v>6104</v>
      </c>
      <c r="K39" s="114">
        <v>6095</v>
      </c>
      <c r="L39" s="113">
        <v>49486</v>
      </c>
      <c r="M39" s="114">
        <f t="shared" ref="M39:M45" si="9">SUM(C39:L39)</f>
        <v>96933</v>
      </c>
    </row>
    <row r="40" spans="1:14" s="104" customFormat="1" x14ac:dyDescent="0.3">
      <c r="A40" s="175" t="s">
        <v>32</v>
      </c>
      <c r="B40" s="176"/>
      <c r="C40" s="113">
        <v>750</v>
      </c>
      <c r="D40" s="113">
        <v>3576</v>
      </c>
      <c r="E40" s="113">
        <v>743</v>
      </c>
      <c r="F40" s="113">
        <v>450</v>
      </c>
      <c r="G40" s="113">
        <v>21533</v>
      </c>
      <c r="H40" s="113">
        <v>6162</v>
      </c>
      <c r="I40" s="113">
        <v>0</v>
      </c>
      <c r="J40" s="113">
        <v>6010</v>
      </c>
      <c r="K40" s="114">
        <v>5769</v>
      </c>
      <c r="L40" s="113">
        <v>48427</v>
      </c>
      <c r="M40" s="114">
        <f t="shared" si="9"/>
        <v>93420</v>
      </c>
    </row>
    <row r="41" spans="1:14" s="105" customFormat="1" x14ac:dyDescent="0.3">
      <c r="A41" s="175" t="s">
        <v>33</v>
      </c>
      <c r="B41" s="176"/>
      <c r="C41" s="113">
        <v>66930</v>
      </c>
      <c r="D41" s="113">
        <v>284440</v>
      </c>
      <c r="E41" s="113">
        <v>32300</v>
      </c>
      <c r="F41" s="113">
        <v>56974</v>
      </c>
      <c r="G41" s="113">
        <v>968279</v>
      </c>
      <c r="H41" s="113">
        <v>678761</v>
      </c>
      <c r="I41" s="113">
        <v>0</v>
      </c>
      <c r="J41" s="113">
        <v>71824</v>
      </c>
      <c r="K41" s="114">
        <v>1308608</v>
      </c>
      <c r="L41" s="113">
        <v>304421</v>
      </c>
      <c r="M41" s="114">
        <f t="shared" si="9"/>
        <v>3772537</v>
      </c>
    </row>
    <row r="42" spans="1:14" s="106" customFormat="1" x14ac:dyDescent="0.3">
      <c r="A42" s="177" t="s">
        <v>34</v>
      </c>
      <c r="B42" s="178"/>
      <c r="C42" s="113">
        <v>544.41</v>
      </c>
      <c r="D42" s="113">
        <v>1825.46</v>
      </c>
      <c r="E42" s="113">
        <v>423</v>
      </c>
      <c r="F42" s="113">
        <v>124</v>
      </c>
      <c r="G42" s="113">
        <v>5066.5897029999996</v>
      </c>
      <c r="H42" s="113">
        <v>1657.4180000000001</v>
      </c>
      <c r="I42" s="113">
        <v>20</v>
      </c>
      <c r="J42" s="113">
        <v>846.92</v>
      </c>
      <c r="K42" s="114">
        <v>2688</v>
      </c>
      <c r="L42" s="113">
        <v>527.49</v>
      </c>
      <c r="M42" s="114">
        <f t="shared" si="9"/>
        <v>13723.287703</v>
      </c>
    </row>
    <row r="43" spans="1:14" s="107" customFormat="1" x14ac:dyDescent="0.25">
      <c r="A43" s="170" t="s">
        <v>35</v>
      </c>
      <c r="B43" s="171" t="s">
        <v>36</v>
      </c>
      <c r="C43" s="113">
        <v>0</v>
      </c>
      <c r="D43" s="113">
        <v>867</v>
      </c>
      <c r="E43" s="113">
        <v>50</v>
      </c>
      <c r="F43" s="113">
        <v>12</v>
      </c>
      <c r="G43" s="113">
        <v>504</v>
      </c>
      <c r="H43" s="113">
        <v>257</v>
      </c>
      <c r="I43" s="113">
        <v>17</v>
      </c>
      <c r="J43" s="113">
        <v>14</v>
      </c>
      <c r="K43" s="114">
        <v>73</v>
      </c>
      <c r="L43" s="113">
        <v>110</v>
      </c>
      <c r="M43" s="114">
        <f t="shared" si="9"/>
        <v>1904</v>
      </c>
    </row>
    <row r="44" spans="1:14" s="89" customFormat="1" x14ac:dyDescent="0.3">
      <c r="A44" s="167" t="s">
        <v>37</v>
      </c>
      <c r="B44" s="90" t="s">
        <v>36</v>
      </c>
      <c r="C44" s="113">
        <v>0</v>
      </c>
      <c r="D44" s="113">
        <v>2900</v>
      </c>
      <c r="E44" s="113">
        <v>125</v>
      </c>
      <c r="F44" s="113">
        <v>780</v>
      </c>
      <c r="G44" s="113">
        <v>8041</v>
      </c>
      <c r="H44" s="113">
        <v>8275</v>
      </c>
      <c r="I44" s="113">
        <v>0</v>
      </c>
      <c r="J44" s="113">
        <v>691.94999999999993</v>
      </c>
      <c r="K44" s="114">
        <v>1991</v>
      </c>
      <c r="L44" s="113">
        <v>0</v>
      </c>
      <c r="M44" s="114">
        <f t="shared" si="9"/>
        <v>22803.95</v>
      </c>
      <c r="N44" s="95"/>
    </row>
    <row r="45" spans="1:14" s="89" customFormat="1" x14ac:dyDescent="0.3">
      <c r="A45" s="167"/>
      <c r="B45" s="91" t="s">
        <v>38</v>
      </c>
      <c r="C45" s="113">
        <v>0</v>
      </c>
      <c r="D45" s="113">
        <v>7375</v>
      </c>
      <c r="E45" s="113">
        <v>16</v>
      </c>
      <c r="F45" s="113">
        <v>608</v>
      </c>
      <c r="G45" s="113">
        <v>8853</v>
      </c>
      <c r="H45" s="113">
        <v>7980</v>
      </c>
      <c r="I45" s="113">
        <v>0</v>
      </c>
      <c r="J45" s="113">
        <v>1285.05</v>
      </c>
      <c r="K45" s="114">
        <v>2470</v>
      </c>
      <c r="L45" s="113">
        <v>0</v>
      </c>
      <c r="M45" s="114">
        <f t="shared" si="9"/>
        <v>28587.05</v>
      </c>
    </row>
    <row r="46" spans="1:14" s="89" customFormat="1" x14ac:dyDescent="0.3">
      <c r="A46" s="167"/>
      <c r="B46" s="92" t="s">
        <v>19</v>
      </c>
      <c r="C46" s="115">
        <f t="shared" ref="C46:M46" si="10">SUM(C44:C45)</f>
        <v>0</v>
      </c>
      <c r="D46" s="115">
        <f t="shared" si="10"/>
        <v>10275</v>
      </c>
      <c r="E46" s="115">
        <f t="shared" si="10"/>
        <v>141</v>
      </c>
      <c r="F46" s="115">
        <f t="shared" si="10"/>
        <v>1388</v>
      </c>
      <c r="G46" s="115">
        <f t="shared" si="10"/>
        <v>16894</v>
      </c>
      <c r="H46" s="115">
        <f t="shared" si="10"/>
        <v>16255</v>
      </c>
      <c r="I46" s="115">
        <f t="shared" si="10"/>
        <v>0</v>
      </c>
      <c r="J46" s="115">
        <f t="shared" si="10"/>
        <v>1977</v>
      </c>
      <c r="K46" s="115">
        <f t="shared" si="10"/>
        <v>4461</v>
      </c>
      <c r="L46" s="115">
        <f t="shared" si="10"/>
        <v>0</v>
      </c>
      <c r="M46" s="115">
        <f t="shared" si="10"/>
        <v>51391</v>
      </c>
    </row>
    <row r="47" spans="1:14" s="89" customFormat="1" x14ac:dyDescent="0.3">
      <c r="A47" s="172" t="s">
        <v>39</v>
      </c>
      <c r="B47" s="90" t="s">
        <v>21</v>
      </c>
      <c r="C47" s="113">
        <v>0</v>
      </c>
      <c r="D47" s="113">
        <v>0</v>
      </c>
      <c r="E47" s="113">
        <v>0</v>
      </c>
      <c r="F47" s="113">
        <v>0</v>
      </c>
      <c r="G47" s="113">
        <v>19715</v>
      </c>
      <c r="H47" s="113">
        <v>0</v>
      </c>
      <c r="I47" s="113">
        <v>0</v>
      </c>
      <c r="J47" s="113">
        <v>58</v>
      </c>
      <c r="K47" s="114">
        <v>55</v>
      </c>
      <c r="L47" s="113">
        <v>0</v>
      </c>
      <c r="M47" s="114">
        <f>SUM(C47:L47)</f>
        <v>19828</v>
      </c>
    </row>
    <row r="48" spans="1:14" s="89" customFormat="1" x14ac:dyDescent="0.3">
      <c r="A48" s="172"/>
      <c r="B48" s="91" t="s">
        <v>22</v>
      </c>
      <c r="C48" s="113">
        <v>0</v>
      </c>
      <c r="D48" s="113">
        <v>0</v>
      </c>
      <c r="E48" s="113">
        <v>0</v>
      </c>
      <c r="F48" s="113">
        <v>0</v>
      </c>
      <c r="G48" s="113">
        <v>2038</v>
      </c>
      <c r="H48" s="113">
        <v>0</v>
      </c>
      <c r="I48" s="113">
        <v>0</v>
      </c>
      <c r="J48" s="113">
        <v>0</v>
      </c>
      <c r="K48" s="114">
        <v>38</v>
      </c>
      <c r="L48" s="113">
        <v>0</v>
      </c>
      <c r="M48" s="114">
        <f>SUM(C48:L48)</f>
        <v>2076</v>
      </c>
    </row>
    <row r="49" spans="1:13" s="89" customFormat="1" x14ac:dyDescent="0.3">
      <c r="A49" s="172"/>
      <c r="B49" s="92" t="s">
        <v>19</v>
      </c>
      <c r="C49" s="115">
        <f t="shared" ref="C49:M49" si="11">SUM(C47:C48)</f>
        <v>0</v>
      </c>
      <c r="D49" s="115">
        <f t="shared" si="11"/>
        <v>0</v>
      </c>
      <c r="E49" s="115">
        <f t="shared" si="11"/>
        <v>0</v>
      </c>
      <c r="F49" s="115">
        <f t="shared" si="11"/>
        <v>0</v>
      </c>
      <c r="G49" s="115">
        <f t="shared" si="11"/>
        <v>21753</v>
      </c>
      <c r="H49" s="115">
        <f t="shared" si="11"/>
        <v>0</v>
      </c>
      <c r="I49" s="115">
        <f t="shared" si="11"/>
        <v>0</v>
      </c>
      <c r="J49" s="115">
        <f t="shared" si="11"/>
        <v>58</v>
      </c>
      <c r="K49" s="115">
        <f t="shared" si="11"/>
        <v>93</v>
      </c>
      <c r="L49" s="115">
        <f t="shared" si="11"/>
        <v>0</v>
      </c>
      <c r="M49" s="115">
        <f t="shared" si="11"/>
        <v>21904</v>
      </c>
    </row>
    <row r="50" spans="1:13" s="89" customFormat="1" x14ac:dyDescent="0.3">
      <c r="A50" s="167" t="s">
        <v>40</v>
      </c>
      <c r="B50" s="90" t="s">
        <v>21</v>
      </c>
      <c r="C50" s="113">
        <v>20</v>
      </c>
      <c r="D50" s="113">
        <v>1243</v>
      </c>
      <c r="E50" s="113">
        <v>894</v>
      </c>
      <c r="F50" s="113">
        <v>95</v>
      </c>
      <c r="G50" s="113">
        <v>3153</v>
      </c>
      <c r="H50" s="113">
        <v>8442</v>
      </c>
      <c r="I50" s="113">
        <v>0</v>
      </c>
      <c r="J50" s="113">
        <v>949</v>
      </c>
      <c r="K50" s="114">
        <v>1066</v>
      </c>
      <c r="L50" s="113">
        <v>675</v>
      </c>
      <c r="M50" s="114">
        <f>SUM(C50:L50)</f>
        <v>16537</v>
      </c>
    </row>
    <row r="51" spans="1:13" s="89" customFormat="1" x14ac:dyDescent="0.3">
      <c r="A51" s="167"/>
      <c r="B51" s="91" t="s">
        <v>22</v>
      </c>
      <c r="C51" s="113">
        <v>0</v>
      </c>
      <c r="D51" s="113">
        <v>0</v>
      </c>
      <c r="E51" s="113">
        <v>0</v>
      </c>
      <c r="F51" s="113">
        <v>0</v>
      </c>
      <c r="G51" s="113">
        <v>0</v>
      </c>
      <c r="H51" s="113">
        <v>1770</v>
      </c>
      <c r="I51" s="113">
        <v>0</v>
      </c>
      <c r="J51" s="113">
        <v>0</v>
      </c>
      <c r="K51" s="114">
        <v>467</v>
      </c>
      <c r="L51" s="113">
        <v>675</v>
      </c>
      <c r="M51" s="114">
        <f>SUM(C51:L51)</f>
        <v>2912</v>
      </c>
    </row>
    <row r="52" spans="1:13" s="89" customFormat="1" ht="14.4" thickBot="1" x14ac:dyDescent="0.35">
      <c r="A52" s="173"/>
      <c r="B52" s="108" t="s">
        <v>19</v>
      </c>
      <c r="C52" s="119">
        <f t="shared" ref="C52:M52" si="12">SUM(C50:C51)</f>
        <v>20</v>
      </c>
      <c r="D52" s="119">
        <f t="shared" si="12"/>
        <v>1243</v>
      </c>
      <c r="E52" s="119">
        <f t="shared" si="12"/>
        <v>894</v>
      </c>
      <c r="F52" s="119">
        <f t="shared" si="12"/>
        <v>95</v>
      </c>
      <c r="G52" s="119">
        <f t="shared" si="12"/>
        <v>3153</v>
      </c>
      <c r="H52" s="119">
        <f t="shared" si="12"/>
        <v>10212</v>
      </c>
      <c r="I52" s="119">
        <f t="shared" si="12"/>
        <v>0</v>
      </c>
      <c r="J52" s="119">
        <f t="shared" si="12"/>
        <v>949</v>
      </c>
      <c r="K52" s="119">
        <f t="shared" si="12"/>
        <v>1533</v>
      </c>
      <c r="L52" s="119">
        <f t="shared" si="12"/>
        <v>1350</v>
      </c>
      <c r="M52" s="119">
        <f t="shared" si="12"/>
        <v>19449</v>
      </c>
    </row>
    <row r="53" spans="1:13" x14ac:dyDescent="0.3">
      <c r="A53" s="109" t="s">
        <v>237</v>
      </c>
      <c r="K53" s="91"/>
    </row>
  </sheetData>
  <mergeCells count="23">
    <mergeCell ref="A43:B43"/>
    <mergeCell ref="A44:A46"/>
    <mergeCell ref="A47:A49"/>
    <mergeCell ref="A50:A52"/>
    <mergeCell ref="A33:A35"/>
    <mergeCell ref="A36:A38"/>
    <mergeCell ref="A39:B39"/>
    <mergeCell ref="A40:B40"/>
    <mergeCell ref="A41:B41"/>
    <mergeCell ref="A42:B42"/>
    <mergeCell ref="A2:B2"/>
    <mergeCell ref="A30:A32"/>
    <mergeCell ref="A4:B4"/>
    <mergeCell ref="A5:B5"/>
    <mergeCell ref="A6:B6"/>
    <mergeCell ref="A7:B7"/>
    <mergeCell ref="A8:A11"/>
    <mergeCell ref="A12:A14"/>
    <mergeCell ref="A15:A17"/>
    <mergeCell ref="A18:A20"/>
    <mergeCell ref="A21:A23"/>
    <mergeCell ref="A24:A26"/>
    <mergeCell ref="A27:A29"/>
  </mergeCells>
  <printOptions horizontalCentered="1" verticalCentered="1"/>
  <pageMargins left="0.2" right="0.21" top="0.2" bottom="0.16" header="0.17" footer="0.16"/>
  <pageSetup paperSize="9" scale="7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4"/>
  <sheetViews>
    <sheetView topLeftCell="F44" workbookViewId="0">
      <selection activeCell="U75" sqref="U75"/>
    </sheetView>
  </sheetViews>
  <sheetFormatPr defaultRowHeight="13.2" x14ac:dyDescent="0.25"/>
  <cols>
    <col min="2" max="2" width="12.88671875" bestFit="1" customWidth="1"/>
    <col min="3" max="3" width="14" bestFit="1" customWidth="1"/>
    <col min="4" max="4" width="17.33203125" customWidth="1"/>
  </cols>
  <sheetData>
    <row r="2" spans="1:3" x14ac:dyDescent="0.25">
      <c r="A2" t="str">
        <f>'RSP Districts '!B211</f>
        <v>Name of Province/Area</v>
      </c>
      <c r="B2" t="s">
        <v>243</v>
      </c>
      <c r="C2" t="s">
        <v>242</v>
      </c>
    </row>
    <row r="3" spans="1:3" ht="26.4" x14ac:dyDescent="0.25">
      <c r="A3" s="150" t="str">
        <f>'RSP Districts '!B213</f>
        <v xml:space="preserve">Balochistan </v>
      </c>
      <c r="B3">
        <f>'RSP Districts '!J213</f>
        <v>30</v>
      </c>
      <c r="C3">
        <f>'RSP Districts '!A213</f>
        <v>16</v>
      </c>
    </row>
    <row r="4" spans="1:3" ht="39.6" x14ac:dyDescent="0.25">
      <c r="A4" s="150" t="str">
        <f>'RSP Districts '!B214</f>
        <v>Khyber Pakhtunkhwa</v>
      </c>
      <c r="B4">
        <f>'RSP Districts '!J214</f>
        <v>24</v>
      </c>
      <c r="C4">
        <f>'RSP Districts '!A214</f>
        <v>19</v>
      </c>
    </row>
    <row r="5" spans="1:3" x14ac:dyDescent="0.25">
      <c r="A5" s="150" t="str">
        <f>'RSP Districts '!B215</f>
        <v xml:space="preserve">Sindh </v>
      </c>
      <c r="B5">
        <f>'RSP Districts '!J215</f>
        <v>23</v>
      </c>
      <c r="C5">
        <f>'RSP Districts '!A215</f>
        <v>22</v>
      </c>
    </row>
    <row r="6" spans="1:3" x14ac:dyDescent="0.25">
      <c r="A6" s="150" t="str">
        <f>'RSP Districts '!B216</f>
        <v xml:space="preserve">Punjab </v>
      </c>
      <c r="B6">
        <f>'RSP Districts '!J212+'RSP Districts '!J216</f>
        <v>37</v>
      </c>
      <c r="C6">
        <f>'RSP Districts '!A212+'RSP Districts '!A216</f>
        <v>35</v>
      </c>
    </row>
    <row r="7" spans="1:3" ht="52.8" x14ac:dyDescent="0.25">
      <c r="A7" s="150" t="str">
        <f>'RSP Districts '!B217</f>
        <v>Azad Jamu and Kashmir</v>
      </c>
      <c r="B7">
        <f>'RSP Districts '!J217</f>
        <v>10</v>
      </c>
      <c r="C7">
        <f>'RSP Districts '!A217</f>
        <v>10</v>
      </c>
    </row>
    <row r="8" spans="1:3" ht="26.4" x14ac:dyDescent="0.25">
      <c r="A8" s="150" t="str">
        <f>'RSP Districts '!B218</f>
        <v xml:space="preserve">Gilgit-Baltistan </v>
      </c>
      <c r="B8">
        <f>'RSP Districts '!J218</f>
        <v>7</v>
      </c>
      <c r="C8">
        <f>'RSP Districts '!A218</f>
        <v>6</v>
      </c>
    </row>
    <row r="9" spans="1:3" ht="92.4" x14ac:dyDescent="0.25">
      <c r="A9" s="150" t="str">
        <f>'RSP Districts '!B219</f>
        <v>Federal Adminstrated Tribal Areas/Frontier Regions</v>
      </c>
      <c r="B9">
        <f>'RSP Districts '!J219</f>
        <v>13</v>
      </c>
      <c r="C9">
        <f>'RSP Districts '!A219</f>
        <v>2</v>
      </c>
    </row>
    <row r="10" spans="1:3" ht="26.4" x14ac:dyDescent="0.25">
      <c r="A10" s="150" t="str">
        <f>'RSP Districts '!B220</f>
        <v xml:space="preserve">Grand Total </v>
      </c>
      <c r="B10">
        <f>SUM(B3:B9)</f>
        <v>144</v>
      </c>
      <c r="C10">
        <f>SUM(C3:C9)</f>
        <v>110</v>
      </c>
    </row>
    <row r="13" spans="1:3" x14ac:dyDescent="0.25">
      <c r="A13" t="str">
        <f>A2</f>
        <v>Name of Province/Area</v>
      </c>
      <c r="B13" t="s">
        <v>244</v>
      </c>
      <c r="C13" t="s">
        <v>245</v>
      </c>
    </row>
    <row r="14" spans="1:3" x14ac:dyDescent="0.25">
      <c r="A14" t="str">
        <f t="shared" ref="A14:A21" si="0">A3</f>
        <v xml:space="preserve">Balochistan </v>
      </c>
      <c r="B14">
        <f>'RSP Districts '!C213</f>
        <v>547</v>
      </c>
      <c r="C14">
        <f>'RSP Districts '!D213</f>
        <v>245</v>
      </c>
    </row>
    <row r="15" spans="1:3" x14ac:dyDescent="0.25">
      <c r="A15" t="str">
        <f t="shared" si="0"/>
        <v>Khyber Pakhtunkhwa</v>
      </c>
      <c r="B15">
        <f>'RSP Districts '!C214</f>
        <v>961</v>
      </c>
      <c r="C15">
        <f>'RSP Districts '!D214</f>
        <v>524</v>
      </c>
    </row>
    <row r="16" spans="1:3" x14ac:dyDescent="0.25">
      <c r="A16" t="str">
        <f t="shared" si="0"/>
        <v xml:space="preserve">Sindh </v>
      </c>
      <c r="B16">
        <f>'RSP Districts '!C215</f>
        <v>921</v>
      </c>
      <c r="C16">
        <f>'RSP Districts '!D215</f>
        <v>639</v>
      </c>
    </row>
    <row r="17" spans="1:4" x14ac:dyDescent="0.25">
      <c r="A17" t="str">
        <f t="shared" si="0"/>
        <v xml:space="preserve">Punjab </v>
      </c>
      <c r="B17">
        <f>'RSP Districts '!C216+'RSP Districts '!C212</f>
        <v>2647</v>
      </c>
      <c r="C17">
        <f>'RSP Districts '!D216+'RSP Districts '!D212</f>
        <v>1839</v>
      </c>
    </row>
    <row r="18" spans="1:4" x14ac:dyDescent="0.25">
      <c r="A18" t="str">
        <f t="shared" si="0"/>
        <v>Azad Jamu and Kashmir</v>
      </c>
      <c r="B18">
        <f>'RSP Districts '!C217</f>
        <v>196</v>
      </c>
      <c r="C18">
        <f>'RSP Districts '!D217</f>
        <v>179</v>
      </c>
    </row>
    <row r="19" spans="1:4" x14ac:dyDescent="0.25">
      <c r="A19" t="str">
        <f t="shared" si="0"/>
        <v xml:space="preserve">Gilgit-Baltistan </v>
      </c>
      <c r="B19">
        <f>'RSP Districts '!C218</f>
        <v>103</v>
      </c>
      <c r="C19">
        <f>'RSP Districts '!D218</f>
        <v>94</v>
      </c>
    </row>
    <row r="20" spans="1:4" x14ac:dyDescent="0.25">
      <c r="A20" t="str">
        <f t="shared" si="0"/>
        <v>Federal Adminstrated Tribal Areas/Frontier Regions</v>
      </c>
      <c r="B20">
        <f>'RSP Districts '!C219</f>
        <v>190</v>
      </c>
      <c r="C20">
        <f>'RSP Districts '!D219</f>
        <v>6</v>
      </c>
    </row>
    <row r="21" spans="1:4" x14ac:dyDescent="0.25">
      <c r="A21" t="str">
        <f t="shared" si="0"/>
        <v xml:space="preserve">Grand Total </v>
      </c>
      <c r="B21">
        <f>SUM(B14:B20)</f>
        <v>5565</v>
      </c>
      <c r="C21">
        <f>SUM(C14:C20)</f>
        <v>3526</v>
      </c>
      <c r="D21">
        <f>C21/B21%</f>
        <v>63.360287511230908</v>
      </c>
    </row>
    <row r="25" spans="1:4" x14ac:dyDescent="0.25">
      <c r="A25" t="str">
        <f>A13</f>
        <v>Name of Province/Area</v>
      </c>
      <c r="B25" t="s">
        <v>248</v>
      </c>
      <c r="C25" t="s">
        <v>247</v>
      </c>
      <c r="D25" t="s">
        <v>246</v>
      </c>
    </row>
    <row r="26" spans="1:4" x14ac:dyDescent="0.25">
      <c r="A26" t="str">
        <f t="shared" ref="A26:A32" si="1">A14</f>
        <v xml:space="preserve">Balochistan </v>
      </c>
      <c r="B26" s="147">
        <f>D26/C26%</f>
        <v>43.766319744729074</v>
      </c>
      <c r="C26" s="148">
        <f>'RSP Districts '!F213</f>
        <v>523953.125</v>
      </c>
      <c r="D26" s="148">
        <f>'RSP Districts '!G213</f>
        <v>229315</v>
      </c>
    </row>
    <row r="27" spans="1:4" x14ac:dyDescent="0.25">
      <c r="A27" t="str">
        <f t="shared" si="1"/>
        <v>Khyber Pakhtunkhwa</v>
      </c>
      <c r="B27" s="147">
        <f t="shared" ref="B27:B33" si="2">D27/C27%</f>
        <v>40.894352817770645</v>
      </c>
      <c r="C27" s="148">
        <f>'RSP Districts '!F214</f>
        <v>1580629</v>
      </c>
      <c r="D27" s="148">
        <f>'RSP Districts '!G214</f>
        <v>646388</v>
      </c>
    </row>
    <row r="28" spans="1:4" x14ac:dyDescent="0.25">
      <c r="A28" t="str">
        <f t="shared" si="1"/>
        <v xml:space="preserve">Sindh </v>
      </c>
      <c r="B28" s="147">
        <f t="shared" si="2"/>
        <v>30.589372853724715</v>
      </c>
      <c r="C28" s="148">
        <f>'RSP Districts '!F215</f>
        <v>2816903.1255411254</v>
      </c>
      <c r="D28" s="148">
        <f>'RSP Districts '!G215</f>
        <v>861673</v>
      </c>
    </row>
    <row r="29" spans="1:4" x14ac:dyDescent="0.25">
      <c r="A29" t="str">
        <f t="shared" si="1"/>
        <v xml:space="preserve">Punjab </v>
      </c>
      <c r="B29" s="147">
        <f t="shared" si="2"/>
        <v>36.272289793967452</v>
      </c>
      <c r="C29" s="148">
        <f>'RSP Districts '!F216+'RSP Districts '!F212</f>
        <v>5838944.8585411254</v>
      </c>
      <c r="D29" s="148">
        <f>'RSP Districts '!G216+'RSP Districts '!G212</f>
        <v>2117919</v>
      </c>
    </row>
    <row r="30" spans="1:4" x14ac:dyDescent="0.25">
      <c r="A30" t="str">
        <f t="shared" si="1"/>
        <v>Azad Jamu and Kashmir</v>
      </c>
      <c r="B30" s="147">
        <f t="shared" si="2"/>
        <v>57.706394219042458</v>
      </c>
      <c r="C30" s="148">
        <f>'RSP Districts '!F217</f>
        <v>398969.65165781637</v>
      </c>
      <c r="D30" s="148">
        <f>'RSP Districts '!G217</f>
        <v>230231</v>
      </c>
    </row>
    <row r="31" spans="1:4" x14ac:dyDescent="0.25">
      <c r="A31" t="str">
        <f t="shared" si="1"/>
        <v xml:space="preserve">Gilgit-Baltistan </v>
      </c>
      <c r="B31" s="147">
        <f t="shared" si="2"/>
        <v>69.747920669136846</v>
      </c>
      <c r="C31" s="148">
        <f>'RSP Districts '!F218</f>
        <v>108649.83396348439</v>
      </c>
      <c r="D31" s="148">
        <f>'RSP Districts '!G218</f>
        <v>75781</v>
      </c>
    </row>
    <row r="32" spans="1:4" x14ac:dyDescent="0.25">
      <c r="A32" t="str">
        <f t="shared" si="1"/>
        <v>Federal Adminstrated Tribal Areas/Frontier Regions</v>
      </c>
      <c r="B32" s="147">
        <f t="shared" si="2"/>
        <v>12.079899196463613</v>
      </c>
      <c r="C32" s="148">
        <f>'RSP Districts '!F219</f>
        <v>48411</v>
      </c>
      <c r="D32" s="148">
        <f>'RSP Districts '!G219</f>
        <v>5848</v>
      </c>
    </row>
    <row r="33" spans="1:4" x14ac:dyDescent="0.25">
      <c r="A33" t="str">
        <f>A21</f>
        <v xml:space="preserve">Grand Total </v>
      </c>
      <c r="B33" s="147">
        <f t="shared" si="2"/>
        <v>36.823836968516069</v>
      </c>
      <c r="C33" s="148">
        <f>SUM(C26:C32)</f>
        <v>11316460.594703551</v>
      </c>
      <c r="D33" s="148">
        <f>SUM(D26:D32)</f>
        <v>4167155</v>
      </c>
    </row>
    <row r="34" spans="1:4" x14ac:dyDescent="0.25">
      <c r="D34" s="149">
        <f>D33/1000000</f>
        <v>4.1671550000000002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2"/>
  <sheetViews>
    <sheetView view="pageBreakPreview" zoomScaleSheetLayoutView="100" workbookViewId="0">
      <pane xSplit="2" ySplit="3" topLeftCell="C19" activePane="bottomRight" state="frozen"/>
      <selection pane="topRight" activeCell="C1" sqref="C1"/>
      <selection pane="bottomLeft" activeCell="A6" sqref="A6"/>
      <selection pane="bottomRight" activeCell="L25" sqref="L25"/>
    </sheetView>
  </sheetViews>
  <sheetFormatPr defaultColWidth="9.109375" defaultRowHeight="13.8" x14ac:dyDescent="0.3"/>
  <cols>
    <col min="1" max="1" width="37.44140625" style="109" customWidth="1"/>
    <col min="2" max="2" width="12.6640625" style="109" customWidth="1"/>
    <col min="3" max="3" width="12.109375" style="86" bestFit="1" customWidth="1"/>
    <col min="4" max="16384" width="9.109375" style="86"/>
  </cols>
  <sheetData>
    <row r="1" spans="1:6" ht="14.4" thickBot="1" x14ac:dyDescent="0.35">
      <c r="A1" s="110" t="s">
        <v>0</v>
      </c>
      <c r="B1" s="86"/>
    </row>
    <row r="2" spans="1:6" s="112" customFormat="1" x14ac:dyDescent="0.25">
      <c r="A2" s="160" t="s">
        <v>1</v>
      </c>
      <c r="B2" s="161"/>
      <c r="C2" s="121" t="s">
        <v>19</v>
      </c>
      <c r="E2" s="151" t="s">
        <v>258</v>
      </c>
      <c r="F2" s="151">
        <v>85.82</v>
      </c>
    </row>
    <row r="3" spans="1:6" ht="5.25" customHeight="1" thickBot="1" x14ac:dyDescent="0.35">
      <c r="A3" s="87"/>
      <c r="B3" s="88"/>
    </row>
    <row r="4" spans="1:6" s="89" customFormat="1" x14ac:dyDescent="0.3">
      <c r="A4" s="163" t="s">
        <v>12</v>
      </c>
      <c r="B4" s="164"/>
      <c r="C4" s="114">
        <v>110</v>
      </c>
      <c r="D4" s="131"/>
    </row>
    <row r="5" spans="1:6" s="89" customFormat="1" x14ac:dyDescent="0.3">
      <c r="A5" s="165" t="s">
        <v>13</v>
      </c>
      <c r="B5" s="166"/>
      <c r="C5" s="114">
        <v>3526</v>
      </c>
      <c r="D5" s="131"/>
    </row>
    <row r="6" spans="1:6" s="89" customFormat="1" x14ac:dyDescent="0.3">
      <c r="A6" s="165" t="s">
        <v>241</v>
      </c>
      <c r="B6" s="166"/>
      <c r="C6" s="114">
        <v>4167155</v>
      </c>
      <c r="D6" s="131"/>
    </row>
    <row r="7" spans="1:6" s="89" customFormat="1" x14ac:dyDescent="0.3">
      <c r="A7" s="165" t="s">
        <v>14</v>
      </c>
      <c r="B7" s="166"/>
      <c r="C7" s="114">
        <v>520</v>
      </c>
      <c r="D7" s="131"/>
    </row>
    <row r="8" spans="1:6" s="89" customFormat="1" x14ac:dyDescent="0.3">
      <c r="A8" s="179" t="s">
        <v>254</v>
      </c>
      <c r="B8" s="180"/>
      <c r="C8" s="114">
        <v>110</v>
      </c>
      <c r="D8" s="131"/>
    </row>
    <row r="9" spans="1:6" s="89" customFormat="1" x14ac:dyDescent="0.3">
      <c r="A9" s="179" t="s">
        <v>256</v>
      </c>
      <c r="B9" s="180"/>
      <c r="C9" s="114">
        <v>3950</v>
      </c>
      <c r="D9" s="131"/>
    </row>
    <row r="10" spans="1:6" s="89" customFormat="1" x14ac:dyDescent="0.3">
      <c r="A10" s="179" t="s">
        <v>255</v>
      </c>
      <c r="B10" s="180"/>
      <c r="C10" s="114">
        <v>37399</v>
      </c>
      <c r="D10" s="131"/>
    </row>
    <row r="11" spans="1:6" s="89" customFormat="1" x14ac:dyDescent="0.3">
      <c r="A11" s="167" t="s">
        <v>15</v>
      </c>
      <c r="B11" s="90" t="s">
        <v>16</v>
      </c>
      <c r="C11" s="114">
        <v>111388</v>
      </c>
      <c r="D11" s="132">
        <f>C11/$C$14%</f>
        <v>43.106310685247458</v>
      </c>
    </row>
    <row r="12" spans="1:6" s="89" customFormat="1" x14ac:dyDescent="0.3">
      <c r="A12" s="167"/>
      <c r="B12" s="91" t="s">
        <v>17</v>
      </c>
      <c r="C12" s="114">
        <v>136301</v>
      </c>
      <c r="D12" s="132">
        <f>C12/$C$14%</f>
        <v>52.74745262245407</v>
      </c>
    </row>
    <row r="13" spans="1:6" s="89" customFormat="1" x14ac:dyDescent="0.3">
      <c r="A13" s="167"/>
      <c r="B13" s="91" t="s">
        <v>18</v>
      </c>
      <c r="C13" s="114">
        <v>10714</v>
      </c>
      <c r="D13" s="132">
        <f>C13/$C$14%</f>
        <v>4.1462366922984639</v>
      </c>
    </row>
    <row r="14" spans="1:6" s="89" customFormat="1" x14ac:dyDescent="0.3">
      <c r="A14" s="167"/>
      <c r="B14" s="92" t="s">
        <v>19</v>
      </c>
      <c r="C14" s="115">
        <v>258403</v>
      </c>
      <c r="D14" s="132">
        <f>C14/$C$14%</f>
        <v>99.999999999999986</v>
      </c>
    </row>
    <row r="15" spans="1:6" s="89" customFormat="1" x14ac:dyDescent="0.3">
      <c r="A15" s="167" t="s">
        <v>20</v>
      </c>
      <c r="B15" s="90" t="s">
        <v>21</v>
      </c>
      <c r="C15" s="114">
        <v>2056375</v>
      </c>
      <c r="D15" s="95"/>
    </row>
    <row r="16" spans="1:6" s="89" customFormat="1" x14ac:dyDescent="0.3">
      <c r="A16" s="167"/>
      <c r="B16" s="91" t="s">
        <v>22</v>
      </c>
      <c r="C16" s="114">
        <v>2399172</v>
      </c>
    </row>
    <row r="17" spans="1:12" s="89" customFormat="1" x14ac:dyDescent="0.3">
      <c r="A17" s="167"/>
      <c r="B17" s="93" t="s">
        <v>19</v>
      </c>
      <c r="C17" s="115">
        <v>4455547</v>
      </c>
    </row>
    <row r="18" spans="1:12" s="95" customFormat="1" x14ac:dyDescent="0.3">
      <c r="A18" s="168" t="s">
        <v>23</v>
      </c>
      <c r="B18" s="94" t="s">
        <v>21</v>
      </c>
      <c r="C18" s="114">
        <v>517.88534800000002</v>
      </c>
      <c r="D18" s="132">
        <f>C18/$C$20%</f>
        <v>22.953768301102048</v>
      </c>
      <c r="F18" s="95">
        <f>C18/$F$2</f>
        <v>6.0345531111629001</v>
      </c>
    </row>
    <row r="19" spans="1:12" s="95" customFormat="1" x14ac:dyDescent="0.3">
      <c r="A19" s="168"/>
      <c r="B19" s="96" t="s">
        <v>22</v>
      </c>
      <c r="C19" s="114">
        <v>1738.3252280000002</v>
      </c>
      <c r="D19" s="132">
        <f>C19/$C$20%</f>
        <v>77.046231698897941</v>
      </c>
      <c r="F19" s="95">
        <f>C19/$F$2</f>
        <v>20.255479235609418</v>
      </c>
    </row>
    <row r="20" spans="1:12" s="95" customFormat="1" x14ac:dyDescent="0.3">
      <c r="A20" s="168"/>
      <c r="B20" s="93" t="s">
        <v>19</v>
      </c>
      <c r="C20" s="115">
        <v>2256.2105760000004</v>
      </c>
      <c r="D20" s="132">
        <f>C20/$C$20%</f>
        <v>100</v>
      </c>
      <c r="F20" s="95">
        <f>C20/$F$2</f>
        <v>26.290032346772321</v>
      </c>
    </row>
    <row r="21" spans="1:12" s="89" customFormat="1" x14ac:dyDescent="0.3">
      <c r="A21" s="167" t="s">
        <v>257</v>
      </c>
      <c r="B21" s="90" t="s">
        <v>21</v>
      </c>
      <c r="C21" s="114">
        <v>1288029</v>
      </c>
      <c r="D21" s="132">
        <f>C21/$C$23%</f>
        <v>49.815458765679629</v>
      </c>
    </row>
    <row r="22" spans="1:12" s="89" customFormat="1" x14ac:dyDescent="0.3">
      <c r="A22" s="167"/>
      <c r="B22" s="91" t="s">
        <v>22</v>
      </c>
      <c r="C22" s="114">
        <v>1297572</v>
      </c>
      <c r="D22" s="132">
        <f t="shared" ref="D22:D23" si="0">C22/$C$23%</f>
        <v>50.184541234320378</v>
      </c>
    </row>
    <row r="23" spans="1:12" s="89" customFormat="1" x14ac:dyDescent="0.3">
      <c r="A23" s="167"/>
      <c r="B23" s="92" t="s">
        <v>19</v>
      </c>
      <c r="C23" s="115">
        <v>2585601</v>
      </c>
      <c r="D23" s="132">
        <f t="shared" si="0"/>
        <v>100</v>
      </c>
      <c r="L23" s="89">
        <f>12.72*1000</f>
        <v>12720</v>
      </c>
    </row>
    <row r="24" spans="1:12" s="95" customFormat="1" x14ac:dyDescent="0.3">
      <c r="A24" s="169" t="s">
        <v>25</v>
      </c>
      <c r="B24" s="94" t="s">
        <v>21</v>
      </c>
      <c r="C24" s="114">
        <v>22039.147732000001</v>
      </c>
      <c r="D24" s="132">
        <f>C24/$C$26%</f>
        <v>33.421033152682703</v>
      </c>
      <c r="F24" s="95">
        <f>C24/$F$2</f>
        <v>256.80666199021209</v>
      </c>
      <c r="L24" s="95">
        <f>L23/F2</f>
        <v>148.21719878816128</v>
      </c>
    </row>
    <row r="25" spans="1:12" s="95" customFormat="1" x14ac:dyDescent="0.3">
      <c r="A25" s="169"/>
      <c r="B25" s="96" t="s">
        <v>22</v>
      </c>
      <c r="C25" s="114">
        <v>43904.797302000006</v>
      </c>
      <c r="D25" s="132">
        <f>C25/$C$26%</f>
        <v>66.578966847317304</v>
      </c>
      <c r="F25" s="95">
        <f>C25/$F$2</f>
        <v>511.59167212770927</v>
      </c>
    </row>
    <row r="26" spans="1:12" s="95" customFormat="1" x14ac:dyDescent="0.3">
      <c r="A26" s="169"/>
      <c r="B26" s="97" t="s">
        <v>19</v>
      </c>
      <c r="C26" s="115">
        <v>65943.945034000004</v>
      </c>
      <c r="D26" s="132">
        <f>C26/$C$26%</f>
        <v>100</v>
      </c>
      <c r="F26" s="95">
        <f>C26/$F$2</f>
        <v>768.39833411792131</v>
      </c>
    </row>
    <row r="27" spans="1:12" s="89" customFormat="1" x14ac:dyDescent="0.3">
      <c r="A27" s="167" t="s">
        <v>26</v>
      </c>
      <c r="B27" s="90" t="s">
        <v>21</v>
      </c>
      <c r="C27" s="114">
        <v>1771605.44</v>
      </c>
      <c r="D27" s="132">
        <f>C27/$C$29%</f>
        <v>35.088153664884601</v>
      </c>
    </row>
    <row r="28" spans="1:12" s="89" customFormat="1" x14ac:dyDescent="0.3">
      <c r="A28" s="167"/>
      <c r="B28" s="91" t="s">
        <v>22</v>
      </c>
      <c r="C28" s="114">
        <v>3277407.56</v>
      </c>
      <c r="D28" s="132">
        <f t="shared" ref="D28:D29" si="1">C28/$C$29%</f>
        <v>64.911846335115399</v>
      </c>
    </row>
    <row r="29" spans="1:12" s="89" customFormat="1" x14ac:dyDescent="0.3">
      <c r="A29" s="167"/>
      <c r="B29" s="92" t="s">
        <v>19</v>
      </c>
      <c r="C29" s="115">
        <v>5049013</v>
      </c>
      <c r="D29" s="132">
        <f t="shared" si="1"/>
        <v>100</v>
      </c>
    </row>
    <row r="30" spans="1:12" s="89" customFormat="1" hidden="1" x14ac:dyDescent="0.3">
      <c r="A30" s="167" t="s">
        <v>27</v>
      </c>
      <c r="B30" s="90" t="s">
        <v>21</v>
      </c>
      <c r="C30" s="114">
        <v>0</v>
      </c>
    </row>
    <row r="31" spans="1:12" s="89" customFormat="1" hidden="1" x14ac:dyDescent="0.3">
      <c r="A31" s="167"/>
      <c r="B31" s="91" t="s">
        <v>22</v>
      </c>
      <c r="C31" s="114">
        <v>0</v>
      </c>
    </row>
    <row r="32" spans="1:12" s="89" customFormat="1" hidden="1" x14ac:dyDescent="0.3">
      <c r="A32" s="167"/>
      <c r="B32" s="98" t="s">
        <v>19</v>
      </c>
      <c r="C32" s="114">
        <v>0</v>
      </c>
    </row>
    <row r="33" spans="1:10" s="95" customFormat="1" hidden="1" x14ac:dyDescent="0.3">
      <c r="A33" s="162" t="s">
        <v>28</v>
      </c>
      <c r="B33" s="94" t="s">
        <v>21</v>
      </c>
      <c r="C33" s="114">
        <v>0</v>
      </c>
    </row>
    <row r="34" spans="1:10" s="95" customFormat="1" hidden="1" x14ac:dyDescent="0.3">
      <c r="A34" s="162"/>
      <c r="B34" s="96" t="s">
        <v>22</v>
      </c>
      <c r="C34" s="114">
        <v>0</v>
      </c>
    </row>
    <row r="35" spans="1:10" s="95" customFormat="1" hidden="1" x14ac:dyDescent="0.3">
      <c r="A35" s="162"/>
      <c r="B35" s="99" t="s">
        <v>19</v>
      </c>
      <c r="C35" s="114">
        <v>0</v>
      </c>
    </row>
    <row r="36" spans="1:10" s="101" customFormat="1" hidden="1" x14ac:dyDescent="0.3">
      <c r="A36" s="174" t="s">
        <v>29</v>
      </c>
      <c r="B36" s="100" t="s">
        <v>21</v>
      </c>
      <c r="C36" s="114">
        <v>0</v>
      </c>
    </row>
    <row r="37" spans="1:10" s="101" customFormat="1" hidden="1" x14ac:dyDescent="0.3">
      <c r="A37" s="174"/>
      <c r="B37" s="102" t="s">
        <v>22</v>
      </c>
      <c r="C37" s="114">
        <v>0</v>
      </c>
    </row>
    <row r="38" spans="1:10" s="101" customFormat="1" hidden="1" x14ac:dyDescent="0.3">
      <c r="A38" s="174"/>
      <c r="B38" s="103" t="s">
        <v>19</v>
      </c>
      <c r="C38" s="114">
        <v>0</v>
      </c>
    </row>
    <row r="39" spans="1:10" s="89" customFormat="1" ht="13.2" customHeight="1" x14ac:dyDescent="0.3">
      <c r="A39" s="169" t="s">
        <v>30</v>
      </c>
      <c r="B39" s="90" t="s">
        <v>21</v>
      </c>
      <c r="C39" s="114">
        <v>1626139</v>
      </c>
      <c r="D39" s="132">
        <f>C39/$C$41%</f>
        <v>39.144230065591074</v>
      </c>
    </row>
    <row r="40" spans="1:10" s="89" customFormat="1" x14ac:dyDescent="0.3">
      <c r="A40" s="169"/>
      <c r="B40" s="91" t="s">
        <v>22</v>
      </c>
      <c r="C40" s="114">
        <v>2528085</v>
      </c>
      <c r="D40" s="132">
        <f t="shared" ref="D40:D41" si="2">C40/$C$41%</f>
        <v>60.855769934408933</v>
      </c>
      <c r="J40" s="89">
        <v>500</v>
      </c>
    </row>
    <row r="41" spans="1:10" s="89" customFormat="1" x14ac:dyDescent="0.3">
      <c r="A41" s="169"/>
      <c r="B41" s="92" t="s">
        <v>19</v>
      </c>
      <c r="C41" s="115">
        <v>4154224</v>
      </c>
      <c r="D41" s="132">
        <f t="shared" si="2"/>
        <v>100</v>
      </c>
      <c r="J41" s="95">
        <f>J40/F2</f>
        <v>5.8261477511069684</v>
      </c>
    </row>
    <row r="42" spans="1:10" s="104" customFormat="1" x14ac:dyDescent="0.3">
      <c r="A42" s="175" t="s">
        <v>31</v>
      </c>
      <c r="B42" s="176"/>
      <c r="C42" s="114">
        <v>96933</v>
      </c>
    </row>
    <row r="43" spans="1:10" s="105" customFormat="1" x14ac:dyDescent="0.3">
      <c r="A43" s="175" t="s">
        <v>33</v>
      </c>
      <c r="B43" s="176"/>
      <c r="C43" s="114">
        <v>3772537</v>
      </c>
      <c r="J43" s="105">
        <v>200</v>
      </c>
    </row>
    <row r="44" spans="1:10" s="106" customFormat="1" x14ac:dyDescent="0.3">
      <c r="A44" s="177" t="s">
        <v>34</v>
      </c>
      <c r="B44" s="178"/>
      <c r="C44" s="114">
        <v>13723.287703</v>
      </c>
      <c r="F44" s="95">
        <f>C44/$F$2</f>
        <v>159.90780357725473</v>
      </c>
      <c r="J44" s="106">
        <f>J43/F2</f>
        <v>2.3304591004427873</v>
      </c>
    </row>
    <row r="45" spans="1:10" s="107" customFormat="1" x14ac:dyDescent="0.25">
      <c r="A45" s="170" t="s">
        <v>35</v>
      </c>
      <c r="B45" s="171" t="s">
        <v>36</v>
      </c>
      <c r="C45" s="114">
        <v>1904</v>
      </c>
    </row>
    <row r="46" spans="1:10" s="89" customFormat="1" x14ac:dyDescent="0.3">
      <c r="A46" s="167" t="s">
        <v>37</v>
      </c>
      <c r="B46" s="90" t="s">
        <v>36</v>
      </c>
      <c r="C46" s="114">
        <v>22803.95</v>
      </c>
      <c r="D46" s="132">
        <f>C46/$C$48%</f>
        <v>44.37343114553132</v>
      </c>
      <c r="J46" s="89">
        <v>3200</v>
      </c>
    </row>
    <row r="47" spans="1:10" s="89" customFormat="1" x14ac:dyDescent="0.3">
      <c r="A47" s="167"/>
      <c r="B47" s="91" t="s">
        <v>38</v>
      </c>
      <c r="C47" s="114">
        <v>28587.05</v>
      </c>
      <c r="D47" s="132">
        <f t="shared" ref="D47:D48" si="3">C47/$C$48%</f>
        <v>55.626568854468687</v>
      </c>
      <c r="J47" s="95">
        <f>J46/F2</f>
        <v>37.287345607084596</v>
      </c>
    </row>
    <row r="48" spans="1:10" s="89" customFormat="1" x14ac:dyDescent="0.3">
      <c r="A48" s="167"/>
      <c r="B48" s="92" t="s">
        <v>19</v>
      </c>
      <c r="C48" s="115">
        <v>51391</v>
      </c>
      <c r="D48" s="132">
        <f t="shared" si="3"/>
        <v>100</v>
      </c>
      <c r="J48" s="89">
        <v>1500</v>
      </c>
    </row>
    <row r="49" spans="1:10" s="89" customFormat="1" x14ac:dyDescent="0.3">
      <c r="A49" s="167" t="s">
        <v>253</v>
      </c>
      <c r="B49" s="90" t="s">
        <v>21</v>
      </c>
      <c r="C49" s="114">
        <v>16537</v>
      </c>
      <c r="J49" s="89">
        <f>J48/F2</f>
        <v>17.478443253320904</v>
      </c>
    </row>
    <row r="50" spans="1:10" s="89" customFormat="1" x14ac:dyDescent="0.3">
      <c r="A50" s="167"/>
      <c r="B50" s="91" t="s">
        <v>22</v>
      </c>
      <c r="C50" s="114">
        <v>2912</v>
      </c>
    </row>
    <row r="51" spans="1:10" s="89" customFormat="1" ht="14.4" thickBot="1" x14ac:dyDescent="0.35">
      <c r="A51" s="173"/>
      <c r="B51" s="108" t="s">
        <v>19</v>
      </c>
      <c r="C51" s="119">
        <v>19449</v>
      </c>
    </row>
    <row r="52" spans="1:10" x14ac:dyDescent="0.3">
      <c r="A52" s="109" t="s">
        <v>237</v>
      </c>
      <c r="C52" s="89">
        <v>776.4</v>
      </c>
      <c r="F52" s="95">
        <f>C52/$F$2</f>
        <v>9.0468422279189014</v>
      </c>
    </row>
  </sheetData>
  <mergeCells count="24">
    <mergeCell ref="A44:B44"/>
    <mergeCell ref="A45:B45"/>
    <mergeCell ref="A46:A48"/>
    <mergeCell ref="A49:A51"/>
    <mergeCell ref="A8:B8"/>
    <mergeCell ref="A9:B9"/>
    <mergeCell ref="A10:B10"/>
    <mergeCell ref="A33:A35"/>
    <mergeCell ref="A36:A38"/>
    <mergeCell ref="A39:A41"/>
    <mergeCell ref="A42:B42"/>
    <mergeCell ref="A43:B43"/>
    <mergeCell ref="A15:A17"/>
    <mergeCell ref="A18:A20"/>
    <mergeCell ref="A21:A23"/>
    <mergeCell ref="A24:A26"/>
    <mergeCell ref="A27:A29"/>
    <mergeCell ref="A30:A32"/>
    <mergeCell ref="A2:B2"/>
    <mergeCell ref="A4:B4"/>
    <mergeCell ref="A5:B5"/>
    <mergeCell ref="A6:B6"/>
    <mergeCell ref="A7:B7"/>
    <mergeCell ref="A11:A14"/>
  </mergeCells>
  <printOptions horizontalCentered="1" verticalCentered="1"/>
  <pageMargins left="0.2" right="0.21" top="0.2" bottom="0.16" header="0.17" footer="0.16"/>
  <pageSetup paperSize="9" scale="9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RSP Districts </vt:lpstr>
      <vt:lpstr>Overall commulative progress</vt:lpstr>
      <vt:lpstr>Figs for ppt</vt:lpstr>
      <vt:lpstr>Overall commulative progres (2)</vt:lpstr>
      <vt:lpstr>'Overall commulative progres (2)'!Print_Area</vt:lpstr>
      <vt:lpstr>'Overall commulative progress'!Print_Area</vt:lpstr>
      <vt:lpstr>'RSP Districts '!Print_Area</vt:lpstr>
      <vt:lpstr>'Overall commulative progres (2)'!Print_Titles</vt:lpstr>
      <vt:lpstr>'Overall commulative progress'!Print_Titles</vt:lpstr>
      <vt:lpstr>'RSP Districts 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Elitebook</cp:lastModifiedBy>
  <cp:lastPrinted>2011-07-12T13:20:08Z</cp:lastPrinted>
  <dcterms:created xsi:type="dcterms:W3CDTF">2011-06-02T11:20:26Z</dcterms:created>
  <dcterms:modified xsi:type="dcterms:W3CDTF">2015-12-03T06:26:55Z</dcterms:modified>
</cp:coreProperties>
</file>