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s. " sheetId="1" r:id="rId1"/>
  </sheets>
  <definedNames>
    <definedName name="BoardQty">'bms. '!$H$1</definedName>
    <definedName name="digikey_part_data">'bms. '!$I$5:$M$53</definedName>
    <definedName name="global_part_data">'bms. '!$A$5:$H$53</definedName>
    <definedName name="mouser_part_data">'bms. '!$N$5:$R$53</definedName>
    <definedName name="PURCHASE_DESCRIPTION">'bms. '!$H$56</definedName>
    <definedName name="TotalCost">'bms. 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$0.08      $0.83
    50   $0.05      $2.35
   100   $0.04      $3.90
   500   $0.03     $13.68
  1000   $0.02     $22.65
  4000   $0.02     $77.16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$0.04      $0.44
    50   $0.04      $2.20
   100   $0.03      $3.10
  1000   $0.02     $21.00
 10000   $0.01    $140.00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$0.09      $0.89
    50   $0.05      $2.51
   100   $0.04      $4.16
   500   $0.03     $14.59
  1000   $0.02     $24.16
  3000   $0.02     $67.53</t>
        </r>
      </text>
    </comment>
    <comment ref="N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$0.05      $0.51
    50   $0.05      $2.55
   100   $0.04      $4.20
  1000   $0.02     $25.00
 10000   $0.02    $170.00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$0.08      $0.84
    50   $0.05      $2.38
   100   $0.04      $3.94
   500   $0.03     $13.82
  1000   $0.02     $22.89
  4000   $0.02     $77.96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$2.00
    50   $0.20     $10.00
   100   $0.10     $10.20
  1000   $0.06     $62.00
 10000   $0.04    $430.00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$1.23
    50   $0.07      $3.50
   100   $0.06      $5.80
  4000   $0.04    $141.32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$1.42
    50   $0.14      $7.10
   100   $0.07      $7.20
  1000   $0.04     $43.00
 10000   $0.03    $310.00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$1.64
   100   $0.03      $2.68
   500   $0.02      $9.59
  1000   $0.02     $15.06
  2000   $0.01     $27.62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$0.07      $0.68
    50   $0.07      $3.40
   100   $0.03      $3.10
  1000   $0.02     $17.00
 10000   $0.01    $100.00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$0.47
    50   $0.03      $1.28
   100   $0.02      $2.10
   500   $0.01      $7.49
  1000   $0.01     $11.76
  4000   $0.01     $39.48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$0.02      $2.40
  1000   $0.01     $14.00
 10000   $0.01     $80.00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 50   $0.02      $1.09
   100   $0.02      $1.78
   500   $0.01      $6.34
  1000   $0.01      $9.96
  4000   $0.01     $33.32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$0.02      $1.90
  1000   $0.01     $11.00
 10000   $0.01     $70.00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$1.38
    50   $0.08      $4.13
   100   $0.07      $6.97
   500   $0.05     $23.85
  1000   $0.04     $42.19
  4000   $0.04    $146.76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$0.08      $0.84
    50   $0.05      $2.38
   100   $0.04      $3.94
   500   $0.03     $13.82
  1000   $0.02     $22.88
  2000   $0.02     $42.60</t>
        </r>
      </text>
    </comment>
    <comment ref="P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$0.09      $0.86
    50   $0.09      $4.30
   100   $0.04      $4.10
  1000   $0.02     $24.00
 10000   $0.02    $160.00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$0.19      $1.86
    50   $0.12      $6.20
   100   $0.11     $10.55
   500   $0.07     $37.22
  1000   $0.07     $65.14
  2500   $0.06    $155.10</t>
        </r>
      </text>
    </comment>
    <comment ref="P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$1.19
    50   $0.12      $5.95
   100   $0.10     $10.10
  1000   $0.06     $63.00
 10000   $0.05    $460.00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$0.35      $3.53
   100   $0.22     $21.96
   500   $0.15     $75.14
  1000   $0.12    $115.60
  3000   $0.10    $312.12
  6000   $0.10    $589.56
 15000   $0.09  $1,343.85
 30000   $0.08  $2,514.30
 75000   $0.08  $5,635.50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$0.33      $3.33
    50   $0.33     $16.65
   100   $0.15     $15.10
  1000   $0.12    $116.00
 10000   $0.10  $1,050.00</t>
        </r>
      </text>
    </comment>
    <comment ref="I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$0.56      $5.56
   100   $0.42     $41.55
   500   $0.33    $163.24
  1000   $0.25    $252.28
  3000   $0.23    $701.40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$0.56      $5.57
    50   $0.56     $27.85
   100   $0.42     $41.60
  1000   $0.25    $253.00
 10000   $0.22  $2,220.00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$0.79      $0.79
    10   $0.69      $6.94
   100   $0.60     $59.85
   500   $0.49    $244.83
  1500   $0.41    $612.08
  3000   $0.39  $1,183.35
  7500   $0.38  $2,856.38
 10500   $0.36  $3,798.90
 15000   $0.35  $5,304.60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$5.47      $5.47
    10   $4.92     $49.17
    25   $4.65    $116.20
   100   $4.03    $402.83
   500   $3.43  $1,714.61
  1000   $3.14  $3,136.26</t>
        </r>
      </text>
    </comment>
    <comment ref="P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$5.47      $5.47
    10   $4.92     $49.20
    50   $4.65    $232.50
   100   $4.03    $403.00
  1000   $2.89  $2,890.00
 10000   $2.72 $27,200.00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$0.54      $5.39
    25   $0.46     $11.55
    50   $0.42     $20.79
   100   $0.36     $36.19
   250   $0.32     $80.85
   500   $0.26    $130.90
  1000   $0.21    $211.75
  2000   $0.20    $409.64</t>
        </r>
      </text>
    </comment>
    <comment ref="K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$0.15      $1.49
    25   $0.14      $3.53
   100   $0.13     $12.84
   250   $0.12     $30.17
   500   $0.11     $55.21
  1000   $0.09     $92.45
  3000   $0.09    $269.64
  5000   $0.08    $423.70
 10000   $0.08    $796.10</t>
        </r>
      </text>
    </comment>
    <comment ref="P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$0.15      $1.46
    50   $0.14      $6.85
   100   $0.13     $12.80
  1000   $0.13    $128.00
 10000   $0.13  $1,280.00</t>
        </r>
      </text>
    </comment>
    <comment ref="K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$0.15      $1.49
    25   $0.14      $3.53
   100   $0.13     $12.84
   250   $0.12     $30.17
   500   $0.11     $55.21
  1000   $0.09     $92.45
  3000   $0.09    $269.64
  5000   $0.08    $423.70
 10000   $0.08    $796.10</t>
        </r>
      </text>
    </comment>
    <comment ref="P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$0.15      $1.46
    50   $0.14      $6.85
   100   $0.13     $12.80
  1000   $0.13    $128.00
 10000   $0.13  $1,280.00</t>
        </r>
      </text>
    </comment>
    <comment ref="K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$0.15      $1.49
    25   $0.14      $3.53
   100   $0.13     $12.84
   250   $0.12     $30.17
   500   $0.11     $55.21
  1000   $0.09     $92.45
  3000   $0.09    $269.64
  5000   $0.08    $423.70
 10000   $0.08    $796.10</t>
        </r>
      </text>
    </comment>
    <comment ref="P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$0.15      $1.46
    50   $0.14      $6.85
   100   $0.13     $12.80
  1000   $0.13    $128.00
 10000   $0.13  $1,280.00</t>
        </r>
      </text>
    </comment>
    <comment ref="K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$5.06      $5.06
    10   $4.54     $45.41
    25   $4.29    $107.32
   100   $3.72    $372.06
   250   $3.53    $882.45
   500   $3.17  $1,583.64
  1000   $3.01  $3,006.00</t>
        </r>
      </text>
    </comment>
    <comment ref="P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$5.06      $5.06
    10   $4.55     $45.50
    50   $4.30    $215.00
   100   $3.73    $373.00
  1000   $2.69  $2,690.00
 10000   $2.60 $26,000.00</t>
        </r>
      </text>
    </comment>
    <comment ref="I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$4.88      $4.88
    10   $4.38     $43.81
    25   $4.14    $103.54
    80   $3.59    $287.15
   250   $3.41    $851.31
   500   $3.06  $1,527.76
  1000   $2.68  $2,684.32</t>
        </r>
      </text>
    </comment>
    <comment ref="N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$4.88      $4.88
    10   $3.59     $35.90
    50   $3.59    $179.50
   100   $3.40    $340.00
  1000   $2.22  $2,220.00
 10000   $2.21 $22,100.00</t>
        </r>
      </text>
    </comment>
    <comment ref="G5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5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5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5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<sst xmlns="http://schemas.openxmlformats.org/spreadsheetml/2006/main" count="335" uniqueCount="226">
  <si>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</si>
  <si>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</si>
  <si>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</si>
  <si>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</si>
  <si>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</si>
  <si>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</si>
  <si>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</si>
  <si>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</si>
  <si>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</si>
  <si>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C1,C12</t>
  </si>
  <si>
    <t>100p</t>
  </si>
  <si>
    <t>C_0805_2012Metric</t>
  </si>
  <si>
    <t>Kemet</t>
  </si>
  <si>
    <t>C0805C101J1GACTU</t>
  </si>
  <si>
    <t>C11,C21,C28,C29</t>
  </si>
  <si>
    <t>1u</t>
  </si>
  <si>
    <t>Samsung Electro-Mechanics</t>
  </si>
  <si>
    <t>CL21B105KBFNNNG</t>
  </si>
  <si>
    <t>C13</t>
  </si>
  <si>
    <t>470n</t>
  </si>
  <si>
    <t>CL21B473KCCWPNC</t>
  </si>
  <si>
    <t>C15</t>
  </si>
  <si>
    <t>4.7u</t>
  </si>
  <si>
    <t>CL21A475KOCLRNC</t>
  </si>
  <si>
    <t>C2,C16-C20,C23,C27,C30-C33</t>
  </si>
  <si>
    <t>100n</t>
  </si>
  <si>
    <t>CL21B104KCFSFNE</t>
  </si>
  <si>
    <t>C22</t>
  </si>
  <si>
    <t>10n</t>
  </si>
  <si>
    <t>CL21B103KBANNNC</t>
  </si>
  <si>
    <t>C26</t>
  </si>
  <si>
    <t>22n</t>
  </si>
  <si>
    <t>CL21B223KBANFNC</t>
  </si>
  <si>
    <t>C34,C36</t>
  </si>
  <si>
    <t>8p</t>
  </si>
  <si>
    <t>Yaego</t>
  </si>
  <si>
    <t>CC0805CRNPO9BN8R0</t>
  </si>
  <si>
    <t>C35</t>
  </si>
  <si>
    <t>2.2u</t>
  </si>
  <si>
    <t>CL21B225KPFNNNE</t>
  </si>
  <si>
    <t>C3-C10,C14,C24,C25</t>
  </si>
  <si>
    <t>220n</t>
  </si>
  <si>
    <t>C0805C224K1RECAUTO</t>
  </si>
  <si>
    <t>D1,D3,D5</t>
  </si>
  <si>
    <t>100V</t>
  </si>
  <si>
    <t>D_SOD-123</t>
  </si>
  <si>
    <t>Diodes Inc</t>
  </si>
  <si>
    <t>BAT46W-7-F</t>
  </si>
  <si>
    <t>D2,D4</t>
  </si>
  <si>
    <t>16V</t>
  </si>
  <si>
    <t>MMSZ5246B-7-F</t>
  </si>
  <si>
    <t>D9</t>
  </si>
  <si>
    <t>48V</t>
  </si>
  <si>
    <t>D_SMB</t>
  </si>
  <si>
    <t>Littelfuse</t>
  </si>
  <si>
    <t>SMBJ48A</t>
  </si>
  <si>
    <t>D6-D8</t>
  </si>
  <si>
    <t>5.5V</t>
  </si>
  <si>
    <t>SOT-23</t>
  </si>
  <si>
    <t>TI</t>
  </si>
  <si>
    <t>TPD2E2U06QDBZRQ1</t>
  </si>
  <si>
    <t>H5-H8</t>
  </si>
  <si>
    <t>MountingHole</t>
  </si>
  <si>
    <t>MountingHole_3.2mm_M3</t>
  </si>
  <si>
    <t>J1</t>
  </si>
  <si>
    <t>Taps 0-5</t>
  </si>
  <si>
    <t>PinHeader_1x05_P2.54mm_Vertical</t>
  </si>
  <si>
    <t>J10</t>
  </si>
  <si>
    <t>Signals</t>
  </si>
  <si>
    <t>Hirose_DF62WZ-9P-2.2DSA</t>
  </si>
  <si>
    <t>Hirose Electric Co Ltd</t>
  </si>
  <si>
    <t>DF62WZ-9P-2.2DSA(50)</t>
  </si>
  <si>
    <t>J2</t>
  </si>
  <si>
    <t>Taps 6-8</t>
  </si>
  <si>
    <t>PinHeader_1x04_P2.54mm_Vertical</t>
  </si>
  <si>
    <t>J3</t>
  </si>
  <si>
    <t>Taps 9-10</t>
  </si>
  <si>
    <t>PinHeader_1x02_P2.54mm_Vertical</t>
  </si>
  <si>
    <t>J4</t>
  </si>
  <si>
    <t>Batt- Out</t>
  </si>
  <si>
    <t>74651195R</t>
  </si>
  <si>
    <t>Wurth Elektronik</t>
  </si>
  <si>
    <t>J5</t>
  </si>
  <si>
    <t>Batt+ In</t>
  </si>
  <si>
    <t>J6</t>
  </si>
  <si>
    <t>Batt- In</t>
  </si>
  <si>
    <t>J7</t>
  </si>
  <si>
    <t>Batt+ Out</t>
  </si>
  <si>
    <t>J8</t>
  </si>
  <si>
    <t>SWD</t>
  </si>
  <si>
    <t>PinHeader_1x04_P2.54mm_Horizontal</t>
  </si>
  <si>
    <t>Adam Tech</t>
  </si>
  <si>
    <t>PH1RB-04-UA</t>
  </si>
  <si>
    <t>J9</t>
  </si>
  <si>
    <t>Thermistors</t>
  </si>
  <si>
    <t>JST_NSH_SM04B-NSHSS-TB_1x04-1MP_P1.00mm_Vertical</t>
  </si>
  <si>
    <t>JST</t>
  </si>
  <si>
    <t>SM04B-NSHSS-TB (LF)(SN)</t>
  </si>
  <si>
    <t>JP7,JP9</t>
  </si>
  <si>
    <t>Jumper_NO_Small</t>
  </si>
  <si>
    <t>SolderJumper-2_P1.3mm_Open_RoundedPad1.0x1.5mm</t>
  </si>
  <si>
    <t>Q1</t>
  </si>
  <si>
    <t>FCX495TA</t>
  </si>
  <si>
    <t>SOT-89-3</t>
  </si>
  <si>
    <t>Q2,Q3</t>
  </si>
  <si>
    <t>CSD19506KTT</t>
  </si>
  <si>
    <t>TO-263-2</t>
  </si>
  <si>
    <t>Q4,Q5</t>
  </si>
  <si>
    <t>ZXMP10A13FTA</t>
  </si>
  <si>
    <t>R1,R3,R36</t>
  </si>
  <si>
    <t>100</t>
  </si>
  <si>
    <t>R_0805_2012Metric</t>
  </si>
  <si>
    <t>Bourns Inc</t>
  </si>
  <si>
    <t>CR0805-FX-1000ELF</t>
  </si>
  <si>
    <t>R2</t>
  </si>
  <si>
    <t>1m</t>
  </si>
  <si>
    <t>R_2512_6332Metric</t>
  </si>
  <si>
    <t>Riedon</t>
  </si>
  <si>
    <t>CSR2512C0R001F</t>
  </si>
  <si>
    <t>R20,R21</t>
  </si>
  <si>
    <t>150</t>
  </si>
  <si>
    <t>Stackpole Electronics</t>
  </si>
  <si>
    <t>RMCF0805FT150R</t>
  </si>
  <si>
    <t>R25,R31,R33</t>
  </si>
  <si>
    <t>5.1k</t>
  </si>
  <si>
    <t>RMCF0805FT5K10</t>
  </si>
  <si>
    <t>R28</t>
  </si>
  <si>
    <t>1k</t>
  </si>
  <si>
    <t>CR0805-FX-1001ELF</t>
  </si>
  <si>
    <t>R29,R35</t>
  </si>
  <si>
    <t>3.9k</t>
  </si>
  <si>
    <t>RMCF0805FT3K90</t>
  </si>
  <si>
    <t>R30,R34</t>
  </si>
  <si>
    <t>1M</t>
  </si>
  <si>
    <t>RMCF0805FT1M00</t>
  </si>
  <si>
    <t>R32</t>
  </si>
  <si>
    <t>10M</t>
  </si>
  <si>
    <t>RMCF0805FT10M0</t>
  </si>
  <si>
    <t>R42</t>
  </si>
  <si>
    <t>Rext</t>
  </si>
  <si>
    <t>R15-R19,R22-R24,R26,R27,R39</t>
  </si>
  <si>
    <t>10k</t>
  </si>
  <si>
    <t>RMCF0805FT10K0</t>
  </si>
  <si>
    <t>R4-R14,R37,R38,R40,R41</t>
  </si>
  <si>
    <t>20</t>
  </si>
  <si>
    <t>RMCF0805FT20R0</t>
  </si>
  <si>
    <t>SW1</t>
  </si>
  <si>
    <t>Boot</t>
  </si>
  <si>
    <t>SW_SPST_PTS645</t>
  </si>
  <si>
    <t>C&amp;K</t>
  </si>
  <si>
    <t>PTS645SK50SMTR92 LFS</t>
  </si>
  <si>
    <t>SW2</t>
  </si>
  <si>
    <t>Wake</t>
  </si>
  <si>
    <t>SW3</t>
  </si>
  <si>
    <t>RST</t>
  </si>
  <si>
    <t>U1</t>
  </si>
  <si>
    <t>BQ76942PFBR</t>
  </si>
  <si>
    <t>LQFP-48_7x7mm_P0.5mm</t>
  </si>
  <si>
    <t>BQ7694201PFBR</t>
  </si>
  <si>
    <t>U2</t>
  </si>
  <si>
    <t>STM32L422KBTx</t>
  </si>
  <si>
    <t>LQFP-32_7x7mm_P0.8mm</t>
  </si>
  <si>
    <t>ST</t>
  </si>
  <si>
    <t>STM32L422KBT6</t>
  </si>
  <si>
    <t>X1</t>
  </si>
  <si>
    <t>ASCO</t>
  </si>
  <si>
    <t>Oscillator_SMD_Abracon_ASCO-4Pin_1.6x1.2mm</t>
  </si>
  <si>
    <t>Abracon LLC</t>
  </si>
  <si>
    <t>ASCO-8.000MHZ-EK-T3</t>
  </si>
  <si>
    <t>Y1</t>
  </si>
  <si>
    <t>32.768kHz</t>
  </si>
  <si>
    <t>Crystal_SMD_MicroCrystal_CC8V-T1A-2Pin_2.0x1.2mm_HandSoldering</t>
  </si>
  <si>
    <t>Micro Crystal AG</t>
  </si>
  <si>
    <t>CM8V-T1A-32.768KHZ-9PF-20PPM-TB-QA</t>
  </si>
  <si>
    <t>Total Purchase:</t>
  </si>
  <si>
    <t>Purchase description:</t>
  </si>
  <si>
    <t>Prj:</t>
  </si>
  <si>
    <t>bms.xml</t>
  </si>
  <si>
    <t>Co.:</t>
  </si>
  <si>
    <t>Prj date:</t>
  </si>
  <si>
    <t>5/12/2021 21:36:38</t>
  </si>
  <si>
    <t>Board Qty:</t>
  </si>
  <si>
    <t>Total Cost:</t>
  </si>
  <si>
    <t>Unit Cost:</t>
  </si>
  <si>
    <t>$ date:</t>
  </si>
  <si>
    <t>2021-05-12 21:39:04</t>
  </si>
  <si>
    <t>Digi-Key</t>
  </si>
  <si>
    <t>Avail</t>
  </si>
  <si>
    <t>Purch</t>
  </si>
  <si>
    <t>Cat#</t>
  </si>
  <si>
    <t>399-1123-1-ND</t>
  </si>
  <si>
    <t>1276-6470-1-ND</t>
  </si>
  <si>
    <t>1276-6815-1-ND</t>
  </si>
  <si>
    <t>1276-2416-1-ND</t>
  </si>
  <si>
    <t>1276-2923-1-ND</t>
  </si>
  <si>
    <t>1276-1015-1-ND</t>
  </si>
  <si>
    <t>1276-2488-1-ND</t>
  </si>
  <si>
    <t>311-4151-1-ND</t>
  </si>
  <si>
    <t>1276-1188-1-ND</t>
  </si>
  <si>
    <t>399-17890-1-ND</t>
  </si>
  <si>
    <t>SMBJ48ALFCT-ND</t>
  </si>
  <si>
    <t>296-40695-1-ND</t>
  </si>
  <si>
    <t>NonStk</t>
  </si>
  <si>
    <t>455-2774-1-ND</t>
  </si>
  <si>
    <t>296-49604-1-ND</t>
  </si>
  <si>
    <t>696-1185-1-ND</t>
  </si>
  <si>
    <t>CKN9087CT-ND</t>
  </si>
  <si>
    <t>296-BQ7694201PFBRCT-ND</t>
  </si>
  <si>
    <t>497-18235-ND</t>
  </si>
  <si>
    <t>Mouser</t>
  </si>
  <si>
    <t>80C0805C101J1G</t>
  </si>
  <si>
    <t>187CL21B105KBFNNNG</t>
  </si>
  <si>
    <t>187CL21B473KCCWPNC</t>
  </si>
  <si>
    <t>187CL21A475KOCLRNC</t>
  </si>
  <si>
    <t>187CL21B104KCFSFNE</t>
  </si>
  <si>
    <t>187CL21B103KBANNNC</t>
  </si>
  <si>
    <t>187CL21B223KBANFNC</t>
  </si>
  <si>
    <t>187CL21B225KPFNNNE</t>
  </si>
  <si>
    <t>80C0805C224K1RECAUT</t>
  </si>
  <si>
    <t>576SMBJ48A</t>
  </si>
  <si>
    <t>595TPD2E2U06QDBZRQ1</t>
  </si>
  <si>
    <t>595CSD19506KTT</t>
  </si>
  <si>
    <t>611PTS645SK50SMTR92</t>
  </si>
  <si>
    <t>595BQ7694201PFBR</t>
  </si>
  <si>
    <t>511STM32L422KBT6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</si>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</sst>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0b587c&amp;sid=459&amp;ppid=123666&amp;vpid=1531783&amp;ct=offers" TargetMode="External"/><Relationship Id="rId2" Type="http://schemas.openxmlformats.org/officeDocument/2006/relationships/hyperlink" Target="https://octopart.com/click/track?ai=8078&amp;sig=068e5c8&amp;sid=2401&amp;ppid=123666&amp;vpid=37714615&amp;ct=offers" TargetMode="External"/><Relationship Id="rId3" Type="http://schemas.openxmlformats.org/officeDocument/2006/relationships/hyperlink" Target="https://octopart.com/click/track?ai=8078&amp;sig=0e430a3&amp;sid=459&amp;ppid=19995687&amp;vpid=254014556&amp;ct=offers" TargetMode="External"/><Relationship Id="rId4" Type="http://schemas.openxmlformats.org/officeDocument/2006/relationships/hyperlink" Target="https://octopart.com/click/track?c=1&amp;ai=8078&amp;sig=0276fd4&amp;sid=2401&amp;ppid=19995687&amp;vpid=659501615&amp;ct=offers" TargetMode="External"/><Relationship Id="rId5" Type="http://schemas.openxmlformats.org/officeDocument/2006/relationships/hyperlink" Target="https://octopart.com/click/track?ai=8078&amp;sig=045a58f&amp;sid=459&amp;ppid=30507372&amp;vpid=254260088&amp;ct=offers" TargetMode="External"/><Relationship Id="rId6" Type="http://schemas.openxmlformats.org/officeDocument/2006/relationships/hyperlink" Target="https://octopart.com/click/track?ai=8078&amp;sig=072d3b9&amp;sid=2401&amp;ppid=30507372&amp;vpid=659501796&amp;ct=offers" TargetMode="External"/><Relationship Id="rId7" Type="http://schemas.openxmlformats.org/officeDocument/2006/relationships/hyperlink" Target="https://octopart.com/click/track?ai=8078&amp;sig=04f091f&amp;sid=459&amp;ppid=19832222&amp;vpid=72525891&amp;ct=offers" TargetMode="External"/><Relationship Id="rId8" Type="http://schemas.openxmlformats.org/officeDocument/2006/relationships/hyperlink" Target="https://octopart.com/click/track?ai=8078&amp;sig=0216e42&amp;sid=2401&amp;ppid=19832222&amp;vpid=658751409&amp;ct=offers" TargetMode="External"/><Relationship Id="rId9" Type="http://schemas.openxmlformats.org/officeDocument/2006/relationships/hyperlink" Target="https://octopart.com/click/track?ai=8078&amp;sig=090676c&amp;sid=459&amp;ppid=19832274&amp;vpid=72526089&amp;ct=offers" TargetMode="External"/><Relationship Id="rId10" Type="http://schemas.openxmlformats.org/officeDocument/2006/relationships/hyperlink" Target="https://octopart.com/click/track?ai=8078&amp;sig=059a113&amp;sid=2401&amp;ppid=19832274&amp;vpid=659501593&amp;ct=offers" TargetMode="External"/><Relationship Id="rId11" Type="http://schemas.openxmlformats.org/officeDocument/2006/relationships/hyperlink" Target="https://octopart.com/click/track?ai=8078&amp;sig=068d027&amp;sid=459&amp;ppid=9299349&amp;vpid=72526018&amp;ct=offers" TargetMode="External"/><Relationship Id="rId12" Type="http://schemas.openxmlformats.org/officeDocument/2006/relationships/hyperlink" Target="https://octopart.com/click/track?ai=8078&amp;sig=0e57c83&amp;sid=2401&amp;ppid=9299349&amp;vpid=659501561&amp;ct=offers" TargetMode="External"/><Relationship Id="rId13" Type="http://schemas.openxmlformats.org/officeDocument/2006/relationships/hyperlink" Target="https://octopart.com/click/track?ai=8078&amp;sig=08f2074&amp;sid=459&amp;ppid=19832343&amp;vpid=72526332&amp;ct=offers" TargetMode="External"/><Relationship Id="rId14" Type="http://schemas.openxmlformats.org/officeDocument/2006/relationships/hyperlink" Target="https://octopart.com/click/track?ai=8078&amp;sig=0c7c7af&amp;sid=2401&amp;ppid=19832343&amp;vpid=659501677&amp;ct=offers" TargetMode="External"/><Relationship Id="rId15" Type="http://schemas.openxmlformats.org/officeDocument/2006/relationships/hyperlink" Target="https://octopart.com/click/track?c=1&amp;ai=8078&amp;sig=04d3e2d&amp;sid=459&amp;ppid=71334518&amp;vpid=457175430&amp;ct=offers" TargetMode="External"/><Relationship Id="rId16" Type="http://schemas.openxmlformats.org/officeDocument/2006/relationships/hyperlink" Target="https://octopart.com/click/track?ai=8078&amp;sig=0da4d98&amp;sid=459&amp;ppid=9291904&amp;vpid=72526426&amp;ct=offers" TargetMode="External"/><Relationship Id="rId17" Type="http://schemas.openxmlformats.org/officeDocument/2006/relationships/hyperlink" Target="https://octopart.com/click/track?ai=8078&amp;sig=042a960&amp;sid=2401&amp;ppid=9291904&amp;vpid=658751446&amp;ct=offers" TargetMode="External"/><Relationship Id="rId18" Type="http://schemas.openxmlformats.org/officeDocument/2006/relationships/hyperlink" Target="https://octopart.com/click/track?ai=8078&amp;sig=00debeb&amp;sid=459&amp;ppid=91527630&amp;vpid=477966265&amp;ct=offers" TargetMode="External"/><Relationship Id="rId19" Type="http://schemas.openxmlformats.org/officeDocument/2006/relationships/hyperlink" Target="https://octopart.com/click/track?ai=8078&amp;sig=0cb96bb&amp;sid=2401&amp;ppid=91527630&amp;vpid=481662233&amp;ct=offers" TargetMode="External"/><Relationship Id="rId20" Type="http://schemas.openxmlformats.org/officeDocument/2006/relationships/hyperlink" Target="https://octopart.com/click/track?ai=8078&amp;sig=0f7ec1f&amp;sid=459&amp;ppid=350932&amp;vpid=1629154&amp;ct=offers" TargetMode="External"/><Relationship Id="rId21" Type="http://schemas.openxmlformats.org/officeDocument/2006/relationships/hyperlink" Target="https://octopart.com/click/track?ai=8078&amp;sig=00584be&amp;sid=2401&amp;ppid=350932&amp;vpid=37738827&amp;ct=offers" TargetMode="External"/><Relationship Id="rId22" Type="http://schemas.openxmlformats.org/officeDocument/2006/relationships/hyperlink" Target="https://octopart.com/click/track?c=1&amp;ai=8078&amp;sig=0e8c40f&amp;sid=459&amp;ppid=52437806&amp;vpid=192871289&amp;ct=offers" TargetMode="External"/><Relationship Id="rId23" Type="http://schemas.openxmlformats.org/officeDocument/2006/relationships/hyperlink" Target="https://octopart.com/click/track?ai=8078&amp;sig=066c468&amp;sid=2401&amp;ppid=52437806&amp;vpid=201388535&amp;ct=offers" TargetMode="External"/><Relationship Id="rId24" Type="http://schemas.openxmlformats.org/officeDocument/2006/relationships/hyperlink" Target="https://octopart.com/click/track?ai=8078&amp;sig=0c04254&amp;sid=459&amp;ppid=22884277&amp;vpid=50103598&amp;ct=offers" TargetMode="External"/><Relationship Id="rId25" Type="http://schemas.openxmlformats.org/officeDocument/2006/relationships/hyperlink" Target="https://octopart.com/click/track?ai=8078&amp;sig=0270565&amp;sid=459&amp;ppid=71513265&amp;vpid=486679130&amp;ct=offers" TargetMode="External"/><Relationship Id="rId26" Type="http://schemas.openxmlformats.org/officeDocument/2006/relationships/hyperlink" Target="https://octopart.com/click/track?ai=8078&amp;sig=0b78196&amp;sid=2401&amp;ppid=71513265&amp;vpid=261392702&amp;ct=offers" TargetMode="External"/><Relationship Id="rId27" Type="http://schemas.openxmlformats.org/officeDocument/2006/relationships/hyperlink" Target="https://octopart.com/click/track?c=1&amp;ai=8078&amp;sig=0b731cc&amp;sid=459&amp;ppid=29379677&amp;vpid=77874757&amp;ct=offers" TargetMode="External"/><Relationship Id="rId28" Type="http://schemas.openxmlformats.org/officeDocument/2006/relationships/hyperlink" Target="https://octopart.com/click/track?ai=8078&amp;sig=09e5738&amp;sid=459&amp;ppid=55397152&amp;vpid=76879281&amp;ct=offers" TargetMode="External"/><Relationship Id="rId29" Type="http://schemas.openxmlformats.org/officeDocument/2006/relationships/hyperlink" Target="https://octopart.com/click/track?ai=8078&amp;sig=0341a0e&amp;sid=2401&amp;ppid=55397152&amp;vpid=480548417&amp;ct=offers" TargetMode="External"/><Relationship Id="rId30" Type="http://schemas.openxmlformats.org/officeDocument/2006/relationships/hyperlink" Target="https://octopart.com/click/track?ai=8078&amp;sig=09e5738&amp;sid=459&amp;ppid=55397152&amp;vpid=76879281&amp;ct=offers" TargetMode="External"/><Relationship Id="rId31" Type="http://schemas.openxmlformats.org/officeDocument/2006/relationships/hyperlink" Target="https://octopart.com/click/track?ai=8078&amp;sig=0341a0e&amp;sid=2401&amp;ppid=55397152&amp;vpid=480548417&amp;ct=offers" TargetMode="External"/><Relationship Id="rId32" Type="http://schemas.openxmlformats.org/officeDocument/2006/relationships/hyperlink" Target="https://octopart.com/click/track?ai=8078&amp;sig=09e5738&amp;sid=459&amp;ppid=55397152&amp;vpid=76879281&amp;ct=offers" TargetMode="External"/><Relationship Id="rId33" Type="http://schemas.openxmlformats.org/officeDocument/2006/relationships/hyperlink" Target="https://octopart.com/click/track?ai=8078&amp;sig=0341a0e&amp;sid=2401&amp;ppid=55397152&amp;vpid=480548417&amp;ct=offers" TargetMode="External"/><Relationship Id="rId34" Type="http://schemas.openxmlformats.org/officeDocument/2006/relationships/hyperlink" Target="http://www.ti.com/lit/ds/symlink/bq76942.pdf" TargetMode="External"/><Relationship Id="rId35" Type="http://schemas.openxmlformats.org/officeDocument/2006/relationships/hyperlink" Target="https://octopart.com/click/track?ai=8078&amp;sig=09dce1d&amp;sid=459&amp;ppid=117420950&amp;vpid=714643240&amp;ct=offers" TargetMode="External"/><Relationship Id="rId36" Type="http://schemas.openxmlformats.org/officeDocument/2006/relationships/hyperlink" Target="https://octopart.com/click/track?ai=8078&amp;sig=07372d3&amp;sid=2401&amp;ppid=117420950&amp;vpid=712074037&amp;ct=offers" TargetMode="External"/><Relationship Id="rId37" Type="http://schemas.openxmlformats.org/officeDocument/2006/relationships/hyperlink" Target="http://www.st.com/st-web-ui/static/active/en/resource/technical/document/datasheet/DM00257195.pdf" TargetMode="External"/><Relationship Id="rId38" Type="http://schemas.openxmlformats.org/officeDocument/2006/relationships/hyperlink" Target="https://octopart.com/click/track?c=1&amp;ai=8078&amp;sig=04dcc13&amp;sid=459&amp;ppid=94438346&amp;vpid=504000639&amp;ct=offers" TargetMode="External"/><Relationship Id="rId39" Type="http://schemas.openxmlformats.org/officeDocument/2006/relationships/hyperlink" Target="https://octopart.com/click/track?c=1&amp;ai=8078&amp;sig=0428c7c&amp;sid=2401&amp;ppid=94438346&amp;vpid=503983560&amp;ct=offers" TargetMode="External"/><Relationship Id="rId40" Type="http://schemas.openxmlformats.org/officeDocument/2006/relationships/hyperlink" Target="https://abracon.com/Oscillators/ASCO.pdf" TargetMode="External"/><Relationship Id="rId41" Type="http://schemas.openxmlformats.org/officeDocument/2006/relationships/vmlDrawing" Target="../drawings/vmlDrawing1.vml"/><Relationship Id="rId4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</cols>
  <sheetData>
    <row r="1" spans="1:18">
      <c r="A1" s="1" t="s">
        <v>176</v>
      </c>
      <c r="B1" s="2" t="s">
        <v>177</v>
      </c>
      <c r="G1" s="3" t="s">
        <v>181</v>
      </c>
      <c r="H1" s="3">
        <v>100</v>
      </c>
    </row>
    <row r="2" spans="1:18">
      <c r="A2" s="1" t="s">
        <v>178</v>
      </c>
      <c r="B2" s="2"/>
      <c r="G2" s="1" t="s">
        <v>183</v>
      </c>
      <c r="H2" s="4">
        <f>TotalCost/BoardQty</f>
        <v>0</v>
      </c>
    </row>
    <row r="3" spans="1:18">
      <c r="A3" s="1" t="s">
        <v>179</v>
      </c>
      <c r="B3" s="2" t="s">
        <v>180</v>
      </c>
      <c r="G3" s="1" t="s">
        <v>182</v>
      </c>
      <c r="H3" s="5">
        <f>SUM(H7:H53)</f>
        <v>0</v>
      </c>
      <c r="L3" s="5">
        <f>SUM(L7:L53)</f>
        <v>0</v>
      </c>
      <c r="M3" s="6">
        <f>(COUNTA(L7:L53)&amp;" of "&amp;ROWS(L7:L53)&amp;" parts found"</f>
        <v>0</v>
      </c>
      <c r="Q3" s="5">
        <f>SUM(Q7:Q53)</f>
        <v>0</v>
      </c>
      <c r="R3" s="6">
        <f>(COUNTA(Q7:Q53)&amp;" of "&amp;ROWS(Q7:Q53)&amp;" parts found"</f>
        <v>0</v>
      </c>
    </row>
    <row r="4" spans="1:18">
      <c r="A4" s="1" t="s">
        <v>184</v>
      </c>
      <c r="B4" s="2" t="s">
        <v>185</v>
      </c>
    </row>
    <row r="5" spans="1:18">
      <c r="A5" s="7" t="s">
        <v>0</v>
      </c>
      <c r="B5" s="7"/>
      <c r="C5" s="7"/>
      <c r="D5" s="7"/>
      <c r="E5" s="7"/>
      <c r="F5" s="7"/>
      <c r="G5" s="7"/>
      <c r="H5" s="7"/>
      <c r="I5" s="8" t="s">
        <v>186</v>
      </c>
      <c r="J5" s="8"/>
      <c r="K5" s="8"/>
      <c r="L5" s="8"/>
      <c r="M5" s="8"/>
      <c r="N5" s="9" t="s">
        <v>209</v>
      </c>
      <c r="O5" s="9"/>
      <c r="P5" s="9"/>
      <c r="Q5" s="9"/>
      <c r="R5" s="9"/>
    </row>
    <row r="6" spans="1:18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187</v>
      </c>
      <c r="J6" s="10" t="s">
        <v>188</v>
      </c>
      <c r="K6" s="10" t="s">
        <v>7</v>
      </c>
      <c r="L6" s="10" t="s">
        <v>8</v>
      </c>
      <c r="M6" s="10" t="s">
        <v>189</v>
      </c>
      <c r="N6" s="10" t="s">
        <v>187</v>
      </c>
      <c r="O6" s="10" t="s">
        <v>188</v>
      </c>
      <c r="P6" s="10" t="s">
        <v>7</v>
      </c>
      <c r="Q6" s="10" t="s">
        <v>8</v>
      </c>
      <c r="R6" s="10" t="s">
        <v>189</v>
      </c>
    </row>
    <row r="7" spans="1:18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>
        <f>BoardQty*2</f>
        <v>0</v>
      </c>
      <c r="G7" s="12">
        <f>MINA(INDIRECT(ADDRESS(ROW(),COLUMN(digikey_part_data)+2)),INDIRECT(ADDRESS(ROW(),COLUMN(mouser_part_data)+2)))</f>
        <v>0</v>
      </c>
      <c r="H7" s="12">
        <f>iferror(F7*G7,"")</f>
        <v>0</v>
      </c>
      <c r="I7" s="11">
        <v>155151</v>
      </c>
      <c r="K7" s="12">
        <f>iferror(lookup(if(J7="",F7,J7),{0,1,10,50,100,500,1000,4000},{0.0,0.12,0.083,0.047,0.039,0.02736,0.02265,0.01929}),"")</f>
        <v>0</v>
      </c>
      <c r="L7" s="12">
        <f>iferror(if(J7="",F7,J7)*K7,"")</f>
        <v>0</v>
      </c>
      <c r="M7" s="13" t="s">
        <v>190</v>
      </c>
      <c r="N7" s="11">
        <v>46286</v>
      </c>
      <c r="P7" s="12">
        <f>iferror(lookup(if(O7="",F7,O7),{0,1,10,50,100,1000,10000},{0.0,0.11,0.044,0.044,0.031,0.021,0.014}),"")</f>
        <v>0</v>
      </c>
      <c r="Q7" s="12">
        <f>iferror(if(O7="",F7,O7)*P7,"")</f>
        <v>0</v>
      </c>
      <c r="R7" s="13" t="s">
        <v>210</v>
      </c>
    </row>
    <row r="8" spans="1:18">
      <c r="A8" s="11" t="s">
        <v>14</v>
      </c>
      <c r="B8" s="11" t="s">
        <v>15</v>
      </c>
      <c r="C8" s="11" t="s">
        <v>11</v>
      </c>
      <c r="D8" s="11" t="s">
        <v>16</v>
      </c>
      <c r="E8" s="11" t="s">
        <v>17</v>
      </c>
      <c r="F8" s="11">
        <f>BoardQty*4</f>
        <v>0</v>
      </c>
      <c r="G8" s="12">
        <f>MINA(INDIRECT(ADDRESS(ROW(),COLUMN(digikey_part_data)+2)),INDIRECT(ADDRESS(ROW(),COLUMN(mouser_part_data)+2)))</f>
        <v>0</v>
      </c>
      <c r="H8" s="12">
        <f>iferror(F8*G8,"")</f>
        <v>0</v>
      </c>
      <c r="I8" s="11">
        <v>1395000</v>
      </c>
      <c r="K8" s="12">
        <f>iferror(lookup(if(J8="",F8,J8),{0,1,10,50,100,500,1000,3000},{0.0,0.12,0.089,0.0502,0.0416,0.02918,0.02416,0.02251}),"")</f>
        <v>0</v>
      </c>
      <c r="L8" s="12">
        <f>iferror(if(J8="",F8,J8)*K8,"")</f>
        <v>0</v>
      </c>
      <c r="M8" s="13" t="s">
        <v>191</v>
      </c>
      <c r="N8" s="14" t="s">
        <v>202</v>
      </c>
      <c r="P8" s="12">
        <f>iferror(lookup(if(O8="",F8,O8),{0,1,10,50,100,1000,10000},{0.0,0.12,0.051,0.051,0.042,0.025,0.017}),"")</f>
        <v>0</v>
      </c>
      <c r="Q8" s="12">
        <f>iferror(if(O8="",F8,O8)*P8,"")</f>
        <v>0</v>
      </c>
      <c r="R8" s="13" t="s">
        <v>211</v>
      </c>
    </row>
    <row r="9" spans="1:18">
      <c r="A9" s="11" t="s">
        <v>18</v>
      </c>
      <c r="B9" s="11" t="s">
        <v>19</v>
      </c>
      <c r="C9" s="11" t="s">
        <v>11</v>
      </c>
      <c r="D9" s="11" t="s">
        <v>16</v>
      </c>
      <c r="E9" s="11" t="s">
        <v>20</v>
      </c>
      <c r="F9" s="11">
        <f>BoardQty*1</f>
        <v>0</v>
      </c>
      <c r="G9" s="12">
        <f>MINA(INDIRECT(ADDRESS(ROW(),COLUMN(digikey_part_data)+2)),INDIRECT(ADDRESS(ROW(),COLUMN(mouser_part_data)+2)))</f>
        <v>0</v>
      </c>
      <c r="H9" s="12">
        <f>iferror(F9*G9,"")</f>
        <v>0</v>
      </c>
      <c r="I9" s="11">
        <v>187459</v>
      </c>
      <c r="K9" s="12">
        <f>iferror(lookup(if(J9="",F9,J9),{0,1,10,50,100,500,1000,4000},{0.0,0.12,0.084,0.0476,0.0394,0.02764,0.02289,0.01949}),"")</f>
        <v>0</v>
      </c>
      <c r="L9" s="12">
        <f>iferror(if(J9="",F9,J9)*K9,"")</f>
        <v>0</v>
      </c>
      <c r="M9" s="13" t="s">
        <v>192</v>
      </c>
      <c r="N9" s="11">
        <v>79715</v>
      </c>
      <c r="P9" s="12">
        <f>iferror(lookup(if(O9="",F9,O9),{0,1,10,50,100,1000,10000},{0.0,0.29,0.2,0.2,0.102,0.062,0.043}),"")</f>
        <v>0</v>
      </c>
      <c r="Q9" s="12">
        <f>iferror(if(O9="",F9,O9)*P9,"")</f>
        <v>0</v>
      </c>
      <c r="R9" s="13" t="s">
        <v>212</v>
      </c>
    </row>
    <row r="10" spans="1:18">
      <c r="A10" s="11" t="s">
        <v>21</v>
      </c>
      <c r="B10" s="11" t="s">
        <v>22</v>
      </c>
      <c r="C10" s="11" t="s">
        <v>11</v>
      </c>
      <c r="D10" s="11" t="s">
        <v>16</v>
      </c>
      <c r="E10" s="11" t="s">
        <v>23</v>
      </c>
      <c r="F10" s="11">
        <f>BoardQty*1</f>
        <v>0</v>
      </c>
      <c r="G10" s="12">
        <f>MINA(INDIRECT(ADDRESS(ROW(),COLUMN(digikey_part_data)+2)),INDIRECT(ADDRESS(ROW(),COLUMN(mouser_part_data)+2)))</f>
        <v>0</v>
      </c>
      <c r="H10" s="12">
        <f>iferror(F10*G10,"")</f>
        <v>0</v>
      </c>
      <c r="I10" s="11">
        <v>180000</v>
      </c>
      <c r="K10" s="12">
        <f>iferror(lookup(if(J10="",F10,J10),{0,1,10,50,100,4000},{0.0,0.17,0.123,0.07,0.058,0.03533}),"")</f>
        <v>0</v>
      </c>
      <c r="L10" s="12">
        <f>iferror(if(J10="",F10,J10)*K10,"")</f>
        <v>0</v>
      </c>
      <c r="M10" s="13" t="s">
        <v>193</v>
      </c>
      <c r="N10" s="11">
        <v>63245</v>
      </c>
      <c r="P10" s="12">
        <f>iferror(lookup(if(O10="",F10,O10),{0,1,10,50,100,1000,10000},{0.0,0.21,0.142,0.142,0.072,0.043,0.031}),"")</f>
        <v>0</v>
      </c>
      <c r="Q10" s="12">
        <f>iferror(if(O10="",F10,O10)*P10,"")</f>
        <v>0</v>
      </c>
      <c r="R10" s="13" t="s">
        <v>213</v>
      </c>
    </row>
    <row r="11" spans="1:18">
      <c r="A11" s="11" t="s">
        <v>24</v>
      </c>
      <c r="B11" s="11" t="s">
        <v>25</v>
      </c>
      <c r="C11" s="11" t="s">
        <v>11</v>
      </c>
      <c r="D11" s="11" t="s">
        <v>16</v>
      </c>
      <c r="E11" s="11" t="s">
        <v>26</v>
      </c>
      <c r="F11" s="11">
        <f>BoardQty*12</f>
        <v>0</v>
      </c>
      <c r="G11" s="12">
        <f>MINA(INDIRECT(ADDRESS(ROW(),COLUMN(digikey_part_data)+2)),INDIRECT(ADDRESS(ROW(),COLUMN(mouser_part_data)+2)))</f>
        <v>0</v>
      </c>
      <c r="H11" s="12">
        <f>iferror(F11*G11,"")</f>
        <v>0</v>
      </c>
      <c r="I11" s="11">
        <v>466</v>
      </c>
      <c r="K11" s="12">
        <f>iferror(lookup(if(J11="",F11,J11),{0,1,10,50,100,500,1000,2000},{0.0,0.1,0.06,0.0328,0.0268,0.01918,0.01506,0.01381}),"")</f>
        <v>0</v>
      </c>
      <c r="L11" s="12">
        <f>iferror(if(J11="",F11,J11)*K11,"")</f>
        <v>0</v>
      </c>
      <c r="M11" s="13" t="s">
        <v>194</v>
      </c>
      <c r="N11" s="11">
        <v>8757</v>
      </c>
      <c r="P11" s="12">
        <f>iferror(lookup(if(O11="",F11,O11),{0,1,10,50,100,1000,10000},{0.0,0.19,0.068,0.068,0.031,0.017,0.01}),"")</f>
        <v>0</v>
      </c>
      <c r="Q11" s="12">
        <f>iferror(if(O11="",F11,O11)*P11,"")</f>
        <v>0</v>
      </c>
      <c r="R11" s="13" t="s">
        <v>214</v>
      </c>
    </row>
    <row r="12" spans="1:18">
      <c r="A12" s="11" t="s">
        <v>27</v>
      </c>
      <c r="B12" s="11" t="s">
        <v>28</v>
      </c>
      <c r="C12" s="11" t="s">
        <v>11</v>
      </c>
      <c r="D12" s="11" t="s">
        <v>16</v>
      </c>
      <c r="E12" s="11" t="s">
        <v>29</v>
      </c>
      <c r="F12" s="11">
        <f>BoardQty*1</f>
        <v>0</v>
      </c>
      <c r="G12" s="12">
        <f>MINA(INDIRECT(ADDRESS(ROW(),COLUMN(digikey_part_data)+2)),INDIRECT(ADDRESS(ROW(),COLUMN(mouser_part_data)+2)))</f>
        <v>0</v>
      </c>
      <c r="H12" s="12">
        <f>iferror(F12*G12,"")</f>
        <v>0</v>
      </c>
      <c r="I12" s="11">
        <v>821659</v>
      </c>
      <c r="K12" s="12">
        <f>iferror(lookup(if(J12="",F12,J12),{0,1,10,50,100,500,1000,4000},{0.0,0.1,0.047,0.0256,0.021,0.01498,0.01176,0.00987}),"")</f>
        <v>0</v>
      </c>
      <c r="L12" s="12">
        <f>iferror(if(J12="",F12,J12)*K12,"")</f>
        <v>0</v>
      </c>
      <c r="M12" s="13" t="s">
        <v>195</v>
      </c>
      <c r="N12" s="11">
        <v>15878</v>
      </c>
      <c r="P12" s="12">
        <f>iferror(lookup(if(O12="",F12,O12),{0,1,10,50,100,1000,10000},{0.0,0.1,0.029,0.029,0.024,0.014,0.008}),"")</f>
        <v>0</v>
      </c>
      <c r="Q12" s="12">
        <f>iferror(if(O12="",F12,O12)*P12,"")</f>
        <v>0</v>
      </c>
      <c r="R12" s="13" t="s">
        <v>215</v>
      </c>
    </row>
    <row r="13" spans="1:18">
      <c r="A13" s="11" t="s">
        <v>30</v>
      </c>
      <c r="B13" s="11" t="s">
        <v>31</v>
      </c>
      <c r="C13" s="11" t="s">
        <v>11</v>
      </c>
      <c r="D13" s="11" t="s">
        <v>16</v>
      </c>
      <c r="E13" s="11" t="s">
        <v>32</v>
      </c>
      <c r="F13" s="11">
        <f>BoardQty*1</f>
        <v>0</v>
      </c>
      <c r="G13" s="12">
        <f>MINA(INDIRECT(ADDRESS(ROW(),COLUMN(digikey_part_data)+2)),INDIRECT(ADDRESS(ROW(),COLUMN(mouser_part_data)+2)))</f>
        <v>0</v>
      </c>
      <c r="H13" s="12">
        <f>iferror(F13*G13,"")</f>
        <v>0</v>
      </c>
      <c r="I13" s="11">
        <v>74889</v>
      </c>
      <c r="K13" s="12">
        <f>iferror(lookup(if(J13="",F13,J13),{0,1,10,50,100,500,1000,4000},{0.0,0.1,0.04,0.0218,0.0178,0.01268,0.00996,0.00833}),"")</f>
        <v>0</v>
      </c>
      <c r="L13" s="12">
        <f>iferror(if(J13="",F13,J13)*K13,"")</f>
        <v>0</v>
      </c>
      <c r="M13" s="13" t="s">
        <v>196</v>
      </c>
      <c r="N13" s="11">
        <v>158177</v>
      </c>
      <c r="P13" s="12">
        <f>iferror(lookup(if(O13="",F13,O13),{0,1,10,50,100,1000,10000},{0.0,0.1,0.023,0.023,0.019,0.011,0.007}),"")</f>
        <v>0</v>
      </c>
      <c r="Q13" s="12">
        <f>iferror(if(O13="",F13,O13)*P13,"")</f>
        <v>0</v>
      </c>
      <c r="R13" s="13" t="s">
        <v>216</v>
      </c>
    </row>
    <row r="14" spans="1:18">
      <c r="A14" s="11" t="s">
        <v>33</v>
      </c>
      <c r="B14" s="11" t="s">
        <v>34</v>
      </c>
      <c r="C14" s="11" t="s">
        <v>11</v>
      </c>
      <c r="D14" s="11" t="s">
        <v>35</v>
      </c>
      <c r="E14" s="11" t="s">
        <v>36</v>
      </c>
      <c r="F14" s="11">
        <f>BoardQty*2</f>
        <v>0</v>
      </c>
      <c r="G14" s="12">
        <f>MINA(INDIRECT(ADDRESS(ROW(),COLUMN(digikey_part_data)+2)),INDIRECT(ADDRESS(ROW(),COLUMN(mouser_part_data)+2)))</f>
        <v>0</v>
      </c>
      <c r="H14" s="12">
        <f>iferror(F14*G14,"")</f>
        <v>0</v>
      </c>
      <c r="I14" s="11">
        <v>7888</v>
      </c>
      <c r="K14" s="12">
        <f>iferror(lookup(if(J14="",F14,J14),{0,1,10,50,100,500,1000,4000},{0.0,0.2,0.138,0.0826,0.0697,0.0477,0.04219,0.03669}),"")</f>
        <v>0</v>
      </c>
      <c r="L14" s="12">
        <f>iferror(if(J14="",F14,J14)*K14,"")</f>
        <v>0</v>
      </c>
      <c r="M14" s="13" t="s">
        <v>197</v>
      </c>
    </row>
    <row r="15" spans="1:18">
      <c r="A15" s="11" t="s">
        <v>37</v>
      </c>
      <c r="B15" s="11" t="s">
        <v>38</v>
      </c>
      <c r="C15" s="11" t="s">
        <v>11</v>
      </c>
      <c r="D15" s="11" t="s">
        <v>16</v>
      </c>
      <c r="E15" s="11" t="s">
        <v>39</v>
      </c>
      <c r="F15" s="11">
        <f>BoardQty*1</f>
        <v>0</v>
      </c>
      <c r="G15" s="12">
        <f>MINA(INDIRECT(ADDRESS(ROW(),COLUMN(digikey_part_data)+2)),INDIRECT(ADDRESS(ROW(),COLUMN(mouser_part_data)+2)))</f>
        <v>0</v>
      </c>
      <c r="H15" s="12">
        <f>iferror(F15*G15,"")</f>
        <v>0</v>
      </c>
      <c r="I15" s="11">
        <v>230183</v>
      </c>
      <c r="K15" s="12">
        <f>iferror(lookup(if(J15="",F15,J15),{0,1,10,50,100,500,1000,2000},{0.0,0.12,0.084,0.0476,0.0394,0.02764,0.02288,0.0213}),"")</f>
        <v>0</v>
      </c>
      <c r="L15" s="12">
        <f>iferror(if(J15="",F15,J15)*K15,"")</f>
        <v>0</v>
      </c>
      <c r="M15" s="13" t="s">
        <v>198</v>
      </c>
      <c r="N15" s="11">
        <v>39439</v>
      </c>
      <c r="P15" s="12">
        <f>iferror(lookup(if(O15="",F15,O15),{0,1,10,50,100,1000,10000},{0.0,0.12,0.086,0.086,0.041,0.024,0.016}),"")</f>
        <v>0</v>
      </c>
      <c r="Q15" s="12">
        <f>iferror(if(O15="",F15,O15)*P15,"")</f>
        <v>0</v>
      </c>
      <c r="R15" s="13" t="s">
        <v>217</v>
      </c>
    </row>
    <row r="16" spans="1:18">
      <c r="A16" s="11" t="s">
        <v>40</v>
      </c>
      <c r="B16" s="11" t="s">
        <v>41</v>
      </c>
      <c r="C16" s="11" t="s">
        <v>11</v>
      </c>
      <c r="D16" s="11" t="s">
        <v>12</v>
      </c>
      <c r="E16" s="11" t="s">
        <v>42</v>
      </c>
      <c r="F16" s="11">
        <f>BoardQty*11</f>
        <v>0</v>
      </c>
      <c r="G16" s="12">
        <f>MINA(INDIRECT(ADDRESS(ROW(),COLUMN(digikey_part_data)+2)),INDIRECT(ADDRESS(ROW(),COLUMN(mouser_part_data)+2)))</f>
        <v>0</v>
      </c>
      <c r="H16" s="12">
        <f>iferror(F16*G16,"")</f>
        <v>0</v>
      </c>
      <c r="I16" s="11">
        <v>7989</v>
      </c>
      <c r="K16" s="12">
        <f>iferror(lookup(if(J16="",F16,J16),{0,1,10,50,100,500,1000,2500},{0.0,0.27,0.186,0.124,0.1055,0.07444,0.06514,0.06204}),"")</f>
        <v>0</v>
      </c>
      <c r="L16" s="12">
        <f>iferror(if(J16="",F16,J16)*K16,"")</f>
        <v>0</v>
      </c>
      <c r="M16" s="13" t="s">
        <v>199</v>
      </c>
      <c r="N16" s="11">
        <v>12561</v>
      </c>
      <c r="P16" s="12">
        <f>iferror(lookup(if(O16="",F16,O16),{0,1,10,50,100,1000,10000},{0.0,0.26,0.119,0.119,0.101,0.063,0.046}),"")</f>
        <v>0</v>
      </c>
      <c r="Q16" s="12">
        <f>iferror(if(O16="",F16,O16)*P16,"")</f>
        <v>0</v>
      </c>
      <c r="R16" s="13" t="s">
        <v>218</v>
      </c>
    </row>
    <row r="17" spans="1:18">
      <c r="A17" s="11" t="s">
        <v>43</v>
      </c>
      <c r="B17" s="11" t="s">
        <v>44</v>
      </c>
      <c r="C17" s="11" t="s">
        <v>45</v>
      </c>
      <c r="D17" s="11" t="s">
        <v>46</v>
      </c>
      <c r="E17" s="11" t="s">
        <v>47</v>
      </c>
      <c r="F17" s="11">
        <f>BoardQty*3</f>
        <v>0</v>
      </c>
      <c r="G17" s="12">
        <f>MINA(INDIRECT(ADDRESS(ROW(),COLUMN(digikey_part_data)+2)),INDIRECT(ADDRESS(ROW(),COLUMN(mouser_part_data)+2)))</f>
        <v>0</v>
      </c>
      <c r="H17" s="12">
        <f>iferror(F17*G17,"")</f>
        <v>0</v>
      </c>
    </row>
    <row r="18" spans="1:18">
      <c r="A18" s="11" t="s">
        <v>48</v>
      </c>
      <c r="B18" s="11" t="s">
        <v>49</v>
      </c>
      <c r="C18" s="11" t="s">
        <v>45</v>
      </c>
      <c r="D18" s="11" t="s">
        <v>46</v>
      </c>
      <c r="E18" s="11" t="s">
        <v>50</v>
      </c>
      <c r="F18" s="11">
        <f>BoardQty*2</f>
        <v>0</v>
      </c>
      <c r="G18" s="12">
        <f>MINA(INDIRECT(ADDRESS(ROW(),COLUMN(digikey_part_data)+2)),INDIRECT(ADDRESS(ROW(),COLUMN(mouser_part_data)+2)))</f>
        <v>0</v>
      </c>
      <c r="H18" s="12">
        <f>iferror(F18*G18,"")</f>
        <v>0</v>
      </c>
    </row>
    <row r="19" spans="1:18">
      <c r="A19" s="11" t="s">
        <v>51</v>
      </c>
      <c r="B19" s="11" t="s">
        <v>52</v>
      </c>
      <c r="C19" s="11" t="s">
        <v>53</v>
      </c>
      <c r="D19" s="11" t="s">
        <v>54</v>
      </c>
      <c r="E19" s="11" t="s">
        <v>55</v>
      </c>
      <c r="F19" s="11">
        <f>BoardQty*1</f>
        <v>0</v>
      </c>
      <c r="G19" s="12">
        <f>MINA(INDIRECT(ADDRESS(ROW(),COLUMN(digikey_part_data)+2)),INDIRECT(ADDRESS(ROW(),COLUMN(mouser_part_data)+2)))</f>
        <v>0</v>
      </c>
      <c r="H19" s="12">
        <f>iferror(F19*G19,"")</f>
        <v>0</v>
      </c>
      <c r="I19" s="11">
        <v>4662</v>
      </c>
      <c r="K19" s="12">
        <f>iferror(lookup(if(J19="",F19,J19),{0,1,10,100,500,1000,3000,6000,15000,30000,75000},{0.0,0.47,0.353,0.2196,0.15028,0.1156,0.10404,0.09826,0.08959,0.08381,0.07514}),"")</f>
        <v>0</v>
      </c>
      <c r="L19" s="12">
        <f>iferror(if(J19="",F19,J19)*K19,"")</f>
        <v>0</v>
      </c>
      <c r="M19" s="13" t="s">
        <v>200</v>
      </c>
      <c r="N19" s="11">
        <v>2092</v>
      </c>
      <c r="P19" s="12">
        <f>iferror(lookup(if(O19="",F19,O19),{0,1,10,50,100,1000,10000},{0.0,0.46,0.333,0.333,0.151,0.116,0.105}),"")</f>
        <v>0</v>
      </c>
      <c r="Q19" s="12">
        <f>iferror(if(O19="",F19,O19)*P19,"")</f>
        <v>0</v>
      </c>
      <c r="R19" s="13" t="s">
        <v>219</v>
      </c>
    </row>
    <row r="20" spans="1:18">
      <c r="A20" s="11" t="s">
        <v>56</v>
      </c>
      <c r="B20" s="11" t="s">
        <v>57</v>
      </c>
      <c r="C20" s="11" t="s">
        <v>58</v>
      </c>
      <c r="D20" s="11" t="s">
        <v>59</v>
      </c>
      <c r="E20" s="11" t="s">
        <v>60</v>
      </c>
      <c r="F20" s="11">
        <f>BoardQty*3</f>
        <v>0</v>
      </c>
      <c r="G20" s="12">
        <f>MINA(INDIRECT(ADDRESS(ROW(),COLUMN(digikey_part_data)+2)),INDIRECT(ADDRESS(ROW(),COLUMN(mouser_part_data)+2)))</f>
        <v>0</v>
      </c>
      <c r="H20" s="12">
        <f>iferror(F20*G20,"")</f>
        <v>0</v>
      </c>
      <c r="I20" s="14" t="s">
        <v>202</v>
      </c>
      <c r="K20" s="12">
        <f>iferror(lookup(if(J20="",F20,J20),{0,1,10,100,500,1000,3000},{0.0,0.65,0.556,0.4155,0.32648,0.25228,0.2338}),"")</f>
        <v>0</v>
      </c>
      <c r="L20" s="12">
        <f>iferror(if(J20="",F20,J20)*K20,"")</f>
        <v>0</v>
      </c>
      <c r="M20" s="13" t="s">
        <v>201</v>
      </c>
      <c r="N20" s="11">
        <v>3175</v>
      </c>
      <c r="P20" s="12">
        <f>iferror(lookup(if(O20="",F20,O20),{0,1,10,50,100,1000,10000},{0.0,0.65,0.557,0.557,0.416,0.253,0.222}),"")</f>
        <v>0</v>
      </c>
      <c r="Q20" s="12">
        <f>iferror(if(O20="",F20,O20)*P20,"")</f>
        <v>0</v>
      </c>
      <c r="R20" s="13" t="s">
        <v>220</v>
      </c>
    </row>
    <row r="21" spans="1:18">
      <c r="A21" s="11" t="s">
        <v>61</v>
      </c>
      <c r="B21" s="11" t="s">
        <v>62</v>
      </c>
      <c r="C21" s="11" t="s">
        <v>63</v>
      </c>
      <c r="F21" s="11">
        <f>BoardQty*4</f>
        <v>0</v>
      </c>
      <c r="G21" s="12">
        <f>MINA(INDIRECT(ADDRESS(ROW(),COLUMN(digikey_part_data)+2)),INDIRECT(ADDRESS(ROW(),COLUMN(mouser_part_data)+2)))</f>
        <v>0</v>
      </c>
      <c r="H21" s="12">
        <f>iferror(F21*G21,"")</f>
        <v>0</v>
      </c>
    </row>
    <row r="22" spans="1:18">
      <c r="A22" s="11" t="s">
        <v>64</v>
      </c>
      <c r="B22" s="11" t="s">
        <v>65</v>
      </c>
      <c r="C22" s="11" t="s">
        <v>66</v>
      </c>
      <c r="F22" s="11">
        <f>BoardQty*1</f>
        <v>0</v>
      </c>
      <c r="G22" s="12">
        <f>MINA(INDIRECT(ADDRESS(ROW(),COLUMN(digikey_part_data)+2)),INDIRECT(ADDRESS(ROW(),COLUMN(mouser_part_data)+2)))</f>
        <v>0</v>
      </c>
      <c r="H22" s="12">
        <f>iferror(F22*G22,"")</f>
        <v>0</v>
      </c>
    </row>
    <row r="23" spans="1:18">
      <c r="A23" s="11" t="s">
        <v>67</v>
      </c>
      <c r="B23" s="11" t="s">
        <v>68</v>
      </c>
      <c r="C23" s="11" t="s">
        <v>69</v>
      </c>
      <c r="D23" s="11" t="s">
        <v>70</v>
      </c>
      <c r="E23" s="11" t="s">
        <v>71</v>
      </c>
      <c r="F23" s="11">
        <f>BoardQty*1</f>
        <v>0</v>
      </c>
      <c r="G23" s="12">
        <f>MINA(INDIRECT(ADDRESS(ROW(),COLUMN(digikey_part_data)+2)),INDIRECT(ADDRESS(ROW(),COLUMN(mouser_part_data)+2)))</f>
        <v>0</v>
      </c>
      <c r="H23" s="12">
        <f>iferror(F23*G23,"")</f>
        <v>0</v>
      </c>
    </row>
    <row r="24" spans="1:18">
      <c r="A24" s="11" t="s">
        <v>72</v>
      </c>
      <c r="B24" s="11" t="s">
        <v>73</v>
      </c>
      <c r="C24" s="11" t="s">
        <v>74</v>
      </c>
      <c r="F24" s="11">
        <f>BoardQty*1</f>
        <v>0</v>
      </c>
      <c r="G24" s="12">
        <f>MINA(INDIRECT(ADDRESS(ROW(),COLUMN(digikey_part_data)+2)),INDIRECT(ADDRESS(ROW(),COLUMN(mouser_part_data)+2)))</f>
        <v>0</v>
      </c>
      <c r="H24" s="12">
        <f>iferror(F24*G24,"")</f>
        <v>0</v>
      </c>
    </row>
    <row r="25" spans="1:18">
      <c r="A25" s="11" t="s">
        <v>75</v>
      </c>
      <c r="B25" s="11" t="s">
        <v>76</v>
      </c>
      <c r="C25" s="11" t="s">
        <v>77</v>
      </c>
      <c r="F25" s="11">
        <f>BoardQty*1</f>
        <v>0</v>
      </c>
      <c r="G25" s="12">
        <f>MINA(INDIRECT(ADDRESS(ROW(),COLUMN(digikey_part_data)+2)),INDIRECT(ADDRESS(ROW(),COLUMN(mouser_part_data)+2)))</f>
        <v>0</v>
      </c>
      <c r="H25" s="12">
        <f>iferror(F25*G25,"")</f>
        <v>0</v>
      </c>
    </row>
    <row r="26" spans="1:18">
      <c r="A26" s="11" t="s">
        <v>78</v>
      </c>
      <c r="B26" s="11" t="s">
        <v>79</v>
      </c>
      <c r="C26" s="11" t="s">
        <v>80</v>
      </c>
      <c r="D26" s="11" t="s">
        <v>81</v>
      </c>
      <c r="E26" s="11" t="s">
        <v>80</v>
      </c>
      <c r="F26" s="11">
        <f>BoardQty*1</f>
        <v>0</v>
      </c>
      <c r="G26" s="12">
        <f>MINA(INDIRECT(ADDRESS(ROW(),COLUMN(digikey_part_data)+2)),INDIRECT(ADDRESS(ROW(),COLUMN(mouser_part_data)+2)))</f>
        <v>0</v>
      </c>
      <c r="H26" s="12">
        <f>iferror(F26*G26,"")</f>
        <v>0</v>
      </c>
    </row>
    <row r="27" spans="1:18">
      <c r="A27" s="11" t="s">
        <v>82</v>
      </c>
      <c r="B27" s="11" t="s">
        <v>83</v>
      </c>
      <c r="C27" s="11" t="s">
        <v>80</v>
      </c>
      <c r="D27" s="11" t="s">
        <v>81</v>
      </c>
      <c r="E27" s="11" t="s">
        <v>80</v>
      </c>
      <c r="F27" s="11">
        <f>BoardQty*1</f>
        <v>0</v>
      </c>
      <c r="G27" s="12">
        <f>MINA(INDIRECT(ADDRESS(ROW(),COLUMN(digikey_part_data)+2)),INDIRECT(ADDRESS(ROW(),COLUMN(mouser_part_data)+2)))</f>
        <v>0</v>
      </c>
      <c r="H27" s="12">
        <f>iferror(F27*G27,"")</f>
        <v>0</v>
      </c>
    </row>
    <row r="28" spans="1:18">
      <c r="A28" s="11" t="s">
        <v>84</v>
      </c>
      <c r="B28" s="11" t="s">
        <v>85</v>
      </c>
      <c r="C28" s="11" t="s">
        <v>80</v>
      </c>
      <c r="D28" s="11" t="s">
        <v>81</v>
      </c>
      <c r="E28" s="11" t="s">
        <v>80</v>
      </c>
      <c r="F28" s="11">
        <f>BoardQty*1</f>
        <v>0</v>
      </c>
      <c r="G28" s="12">
        <f>MINA(INDIRECT(ADDRESS(ROW(),COLUMN(digikey_part_data)+2)),INDIRECT(ADDRESS(ROW(),COLUMN(mouser_part_data)+2)))</f>
        <v>0</v>
      </c>
      <c r="H28" s="12">
        <f>iferror(F28*G28,"")</f>
        <v>0</v>
      </c>
    </row>
    <row r="29" spans="1:18">
      <c r="A29" s="11" t="s">
        <v>86</v>
      </c>
      <c r="B29" s="11" t="s">
        <v>87</v>
      </c>
      <c r="C29" s="11" t="s">
        <v>80</v>
      </c>
      <c r="D29" s="11" t="s">
        <v>81</v>
      </c>
      <c r="E29" s="11" t="s">
        <v>80</v>
      </c>
      <c r="F29" s="11">
        <f>BoardQty*1</f>
        <v>0</v>
      </c>
      <c r="G29" s="12">
        <f>MINA(INDIRECT(ADDRESS(ROW(),COLUMN(digikey_part_data)+2)),INDIRECT(ADDRESS(ROW(),COLUMN(mouser_part_data)+2)))</f>
        <v>0</v>
      </c>
      <c r="H29" s="12">
        <f>iferror(F29*G29,"")</f>
        <v>0</v>
      </c>
    </row>
    <row r="30" spans="1:18">
      <c r="A30" s="11" t="s">
        <v>88</v>
      </c>
      <c r="B30" s="11" t="s">
        <v>89</v>
      </c>
      <c r="C30" s="11" t="s">
        <v>90</v>
      </c>
      <c r="D30" s="11" t="s">
        <v>91</v>
      </c>
      <c r="E30" s="11" t="s">
        <v>92</v>
      </c>
      <c r="F30" s="11">
        <f>BoardQty*1</f>
        <v>0</v>
      </c>
      <c r="G30" s="12">
        <f>MINA(INDIRECT(ADDRESS(ROW(),COLUMN(digikey_part_data)+2)),INDIRECT(ADDRESS(ROW(),COLUMN(mouser_part_data)+2)))</f>
        <v>0</v>
      </c>
      <c r="H30" s="12">
        <f>iferror(F30*G30,"")</f>
        <v>0</v>
      </c>
    </row>
    <row r="31" spans="1:18">
      <c r="A31" s="11" t="s">
        <v>93</v>
      </c>
      <c r="B31" s="11" t="s">
        <v>94</v>
      </c>
      <c r="C31" s="11" t="s">
        <v>95</v>
      </c>
      <c r="D31" s="11" t="s">
        <v>96</v>
      </c>
      <c r="E31" s="11" t="s">
        <v>97</v>
      </c>
      <c r="F31" s="11">
        <f>BoardQty*1</f>
        <v>0</v>
      </c>
      <c r="G31" s="12">
        <f>MINA(INDIRECT(ADDRESS(ROW(),COLUMN(digikey_part_data)+2)),INDIRECT(ADDRESS(ROW(),COLUMN(mouser_part_data)+2)))</f>
        <v>0</v>
      </c>
      <c r="H31" s="12">
        <f>iferror(F31*G31,"")</f>
        <v>0</v>
      </c>
      <c r="I31" s="11">
        <v>3449</v>
      </c>
      <c r="K31" s="12">
        <f>iferror(lookup(if(J31="",F31,J31),{0,1,10,100,500,1500,3000,7500,10500,15000},{0.0,0.79,0.694,0.5985,0.48966,0.40805,0.39445,0.38085,0.3618,0.35364}),"")</f>
        <v>0</v>
      </c>
      <c r="L31" s="12">
        <f>iferror(if(J31="",F31,J31)*K31,"")</f>
        <v>0</v>
      </c>
      <c r="M31" s="13" t="s">
        <v>203</v>
      </c>
    </row>
    <row r="32" spans="1:18">
      <c r="A32" s="11" t="s">
        <v>98</v>
      </c>
      <c r="B32" s="11" t="s">
        <v>99</v>
      </c>
      <c r="C32" s="11" t="s">
        <v>100</v>
      </c>
      <c r="F32" s="11">
        <f>BoardQty*2</f>
        <v>0</v>
      </c>
      <c r="G32" s="12">
        <f>MINA(INDIRECT(ADDRESS(ROW(),COLUMN(digikey_part_data)+2)),INDIRECT(ADDRESS(ROW(),COLUMN(mouser_part_data)+2)))</f>
        <v>0</v>
      </c>
      <c r="H32" s="12">
        <f>iferror(F32*G32,"")</f>
        <v>0</v>
      </c>
    </row>
    <row r="33" spans="1:18">
      <c r="A33" s="11" t="s">
        <v>101</v>
      </c>
      <c r="B33" s="11" t="s">
        <v>102</v>
      </c>
      <c r="C33" s="11" t="s">
        <v>103</v>
      </c>
      <c r="D33" s="11" t="s">
        <v>46</v>
      </c>
      <c r="E33" s="11" t="s">
        <v>102</v>
      </c>
      <c r="F33" s="11">
        <f>BoardQty*1</f>
        <v>0</v>
      </c>
      <c r="G33" s="12">
        <f>MINA(INDIRECT(ADDRESS(ROW(),COLUMN(digikey_part_data)+2)),INDIRECT(ADDRESS(ROW(),COLUMN(mouser_part_data)+2)))</f>
        <v>0</v>
      </c>
      <c r="H33" s="12">
        <f>iferror(F33*G33,"")</f>
        <v>0</v>
      </c>
    </row>
    <row r="34" spans="1:18">
      <c r="A34" s="11" t="s">
        <v>104</v>
      </c>
      <c r="B34" s="11" t="s">
        <v>105</v>
      </c>
      <c r="C34" s="11" t="s">
        <v>106</v>
      </c>
      <c r="D34" s="11" t="s">
        <v>59</v>
      </c>
      <c r="E34" s="11" t="s">
        <v>105</v>
      </c>
      <c r="F34" s="11">
        <f>BoardQty*2</f>
        <v>0</v>
      </c>
      <c r="G34" s="12">
        <f>MINA(INDIRECT(ADDRESS(ROW(),COLUMN(digikey_part_data)+2)),INDIRECT(ADDRESS(ROW(),COLUMN(mouser_part_data)+2)))</f>
        <v>0</v>
      </c>
      <c r="H34" s="12">
        <f>iferror(F34*G34,"")</f>
        <v>0</v>
      </c>
      <c r="I34" s="11">
        <v>129</v>
      </c>
      <c r="K34" s="12">
        <f>iferror(lookup(if(J34="",F34,J34),{0,1,10,25,100,500,1000},{0.0,5.47,4.917,4.648,4.0283,3.42922,3.13626}),"")</f>
        <v>0</v>
      </c>
      <c r="L34" s="12">
        <f>iferror(if(J34="",F34,J34)*K34,"")</f>
        <v>0</v>
      </c>
      <c r="M34" s="13" t="s">
        <v>204</v>
      </c>
      <c r="N34" s="11">
        <v>438</v>
      </c>
      <c r="P34" s="12">
        <f>iferror(lookup(if(O34="",F34,O34),{0,1,10,50,100,1000,10000},{0.0,5.47,4.92,4.65,4.03,2.89,2.72}),"")</f>
        <v>0</v>
      </c>
      <c r="Q34" s="12">
        <f>iferror(if(O34="",F34,O34)*P34,"")</f>
        <v>0</v>
      </c>
      <c r="R34" s="13" t="s">
        <v>221</v>
      </c>
    </row>
    <row r="35" spans="1:18">
      <c r="A35" s="11" t="s">
        <v>107</v>
      </c>
      <c r="B35" s="11" t="s">
        <v>108</v>
      </c>
      <c r="C35" s="11" t="s">
        <v>58</v>
      </c>
      <c r="D35" s="11" t="s">
        <v>46</v>
      </c>
      <c r="E35" s="11" t="s">
        <v>108</v>
      </c>
      <c r="F35" s="11">
        <f>BoardQty*2</f>
        <v>0</v>
      </c>
      <c r="G35" s="12">
        <f>MINA(INDIRECT(ADDRESS(ROW(),COLUMN(digikey_part_data)+2)),INDIRECT(ADDRESS(ROW(),COLUMN(mouser_part_data)+2)))</f>
        <v>0</v>
      </c>
      <c r="H35" s="12">
        <f>iferror(F35*G35,"")</f>
        <v>0</v>
      </c>
    </row>
    <row r="36" spans="1:18">
      <c r="A36" s="11" t="s">
        <v>109</v>
      </c>
      <c r="B36" s="11" t="s">
        <v>110</v>
      </c>
      <c r="C36" s="11" t="s">
        <v>111</v>
      </c>
      <c r="D36" s="11" t="s">
        <v>112</v>
      </c>
      <c r="E36" s="11" t="s">
        <v>113</v>
      </c>
      <c r="F36" s="11">
        <f>BoardQty*3</f>
        <v>0</v>
      </c>
      <c r="G36" s="12">
        <f>MINA(INDIRECT(ADDRESS(ROW(),COLUMN(digikey_part_data)+2)),INDIRECT(ADDRESS(ROW(),COLUMN(mouser_part_data)+2)))</f>
        <v>0</v>
      </c>
      <c r="H36" s="12">
        <f>iferror(F36*G36,"")</f>
        <v>0</v>
      </c>
    </row>
    <row r="37" spans="1:18">
      <c r="A37" s="11" t="s">
        <v>114</v>
      </c>
      <c r="B37" s="11" t="s">
        <v>115</v>
      </c>
      <c r="C37" s="11" t="s">
        <v>116</v>
      </c>
      <c r="D37" s="11" t="s">
        <v>117</v>
      </c>
      <c r="E37" s="11" t="s">
        <v>118</v>
      </c>
      <c r="F37" s="11">
        <f>BoardQty*1</f>
        <v>0</v>
      </c>
      <c r="G37" s="12">
        <f>MINA(INDIRECT(ADDRESS(ROW(),COLUMN(digikey_part_data)+2)),INDIRECT(ADDRESS(ROW(),COLUMN(mouser_part_data)+2)))</f>
        <v>0</v>
      </c>
      <c r="H37" s="12">
        <f>iferror(F37*G37,"")</f>
        <v>0</v>
      </c>
      <c r="I37" s="11">
        <v>30118</v>
      </c>
      <c r="K37" s="12">
        <f>iferror(lookup(if(J37="",F37,J37),{0,1,10,25,50,100,250,500,1000,2000},{0.0,0.65,0.539,0.462,0.4158,0.3619,0.3234,0.2618,0.21175,0.20482}),"")</f>
        <v>0</v>
      </c>
      <c r="L37" s="12">
        <f>iferror(if(J37="",F37,J37)*K37,"")</f>
        <v>0</v>
      </c>
      <c r="M37" s="13" t="s">
        <v>205</v>
      </c>
    </row>
    <row r="38" spans="1:18">
      <c r="A38" s="11" t="s">
        <v>119</v>
      </c>
      <c r="B38" s="11" t="s">
        <v>120</v>
      </c>
      <c r="C38" s="11" t="s">
        <v>111</v>
      </c>
      <c r="D38" s="11" t="s">
        <v>121</v>
      </c>
      <c r="E38" s="11" t="s">
        <v>122</v>
      </c>
      <c r="F38" s="11">
        <f>BoardQty*2</f>
        <v>0</v>
      </c>
      <c r="G38" s="12">
        <f>MINA(INDIRECT(ADDRESS(ROW(),COLUMN(digikey_part_data)+2)),INDIRECT(ADDRESS(ROW(),COLUMN(mouser_part_data)+2)))</f>
        <v>0</v>
      </c>
      <c r="H38" s="12">
        <f>iferror(F38*G38,"")</f>
        <v>0</v>
      </c>
    </row>
    <row r="39" spans="1:18">
      <c r="A39" s="11" t="s">
        <v>123</v>
      </c>
      <c r="B39" s="11" t="s">
        <v>124</v>
      </c>
      <c r="C39" s="11" t="s">
        <v>111</v>
      </c>
      <c r="D39" s="11" t="s">
        <v>121</v>
      </c>
      <c r="E39" s="11" t="s">
        <v>125</v>
      </c>
      <c r="F39" s="11">
        <f>BoardQty*3</f>
        <v>0</v>
      </c>
      <c r="G39" s="12">
        <f>MINA(INDIRECT(ADDRESS(ROW(),COLUMN(digikey_part_data)+2)),INDIRECT(ADDRESS(ROW(),COLUMN(mouser_part_data)+2)))</f>
        <v>0</v>
      </c>
      <c r="H39" s="12">
        <f>iferror(F39*G39,"")</f>
        <v>0</v>
      </c>
    </row>
    <row r="40" spans="1:18">
      <c r="A40" s="11" t="s">
        <v>126</v>
      </c>
      <c r="B40" s="11" t="s">
        <v>127</v>
      </c>
      <c r="C40" s="11" t="s">
        <v>111</v>
      </c>
      <c r="D40" s="11" t="s">
        <v>112</v>
      </c>
      <c r="E40" s="11" t="s">
        <v>128</v>
      </c>
      <c r="F40" s="11">
        <f>BoardQty*1</f>
        <v>0</v>
      </c>
      <c r="G40" s="12">
        <f>MINA(INDIRECT(ADDRESS(ROW(),COLUMN(digikey_part_data)+2)),INDIRECT(ADDRESS(ROW(),COLUMN(mouser_part_data)+2)))</f>
        <v>0</v>
      </c>
      <c r="H40" s="12">
        <f>iferror(F40*G40,"")</f>
        <v>0</v>
      </c>
    </row>
    <row r="41" spans="1:18">
      <c r="A41" s="11" t="s">
        <v>129</v>
      </c>
      <c r="B41" s="11" t="s">
        <v>130</v>
      </c>
      <c r="C41" s="11" t="s">
        <v>111</v>
      </c>
      <c r="D41" s="11" t="s">
        <v>121</v>
      </c>
      <c r="E41" s="11" t="s">
        <v>131</v>
      </c>
      <c r="F41" s="11">
        <f>BoardQty*2</f>
        <v>0</v>
      </c>
      <c r="G41" s="12">
        <f>MINA(INDIRECT(ADDRESS(ROW(),COLUMN(digikey_part_data)+2)),INDIRECT(ADDRESS(ROW(),COLUMN(mouser_part_data)+2)))</f>
        <v>0</v>
      </c>
      <c r="H41" s="12">
        <f>iferror(F41*G41,"")</f>
        <v>0</v>
      </c>
    </row>
    <row r="42" spans="1:18">
      <c r="A42" s="11" t="s">
        <v>132</v>
      </c>
      <c r="B42" s="11" t="s">
        <v>133</v>
      </c>
      <c r="C42" s="11" t="s">
        <v>111</v>
      </c>
      <c r="D42" s="11" t="s">
        <v>121</v>
      </c>
      <c r="E42" s="11" t="s">
        <v>134</v>
      </c>
      <c r="F42" s="11">
        <f>BoardQty*2</f>
        <v>0</v>
      </c>
      <c r="G42" s="12">
        <f>MINA(INDIRECT(ADDRESS(ROW(),COLUMN(digikey_part_data)+2)),INDIRECT(ADDRESS(ROW(),COLUMN(mouser_part_data)+2)))</f>
        <v>0</v>
      </c>
      <c r="H42" s="12">
        <f>iferror(F42*G42,"")</f>
        <v>0</v>
      </c>
    </row>
    <row r="43" spans="1:18">
      <c r="A43" s="11" t="s">
        <v>135</v>
      </c>
      <c r="B43" s="11" t="s">
        <v>136</v>
      </c>
      <c r="C43" s="11" t="s">
        <v>111</v>
      </c>
      <c r="D43" s="11" t="s">
        <v>121</v>
      </c>
      <c r="E43" s="11" t="s">
        <v>137</v>
      </c>
      <c r="F43" s="11">
        <f>BoardQty*1</f>
        <v>0</v>
      </c>
      <c r="G43" s="12">
        <f>MINA(INDIRECT(ADDRESS(ROW(),COLUMN(digikey_part_data)+2)),INDIRECT(ADDRESS(ROW(),COLUMN(mouser_part_data)+2)))</f>
        <v>0</v>
      </c>
      <c r="H43" s="12">
        <f>iferror(F43*G43,"")</f>
        <v>0</v>
      </c>
    </row>
    <row r="44" spans="1:18">
      <c r="A44" s="11" t="s">
        <v>138</v>
      </c>
      <c r="B44" s="11" t="s">
        <v>139</v>
      </c>
      <c r="C44" s="11" t="s">
        <v>111</v>
      </c>
      <c r="F44" s="11">
        <f>BoardQty*1</f>
        <v>0</v>
      </c>
      <c r="G44" s="12">
        <f>MINA(INDIRECT(ADDRESS(ROW(),COLUMN(digikey_part_data)+2)),INDIRECT(ADDRESS(ROW(),COLUMN(mouser_part_data)+2)))</f>
        <v>0</v>
      </c>
      <c r="H44" s="12">
        <f>iferror(F44*G44,"")</f>
        <v>0</v>
      </c>
    </row>
    <row r="45" spans="1:18">
      <c r="A45" s="11" t="s">
        <v>140</v>
      </c>
      <c r="B45" s="11" t="s">
        <v>141</v>
      </c>
      <c r="C45" s="11" t="s">
        <v>111</v>
      </c>
      <c r="D45" s="11" t="s">
        <v>121</v>
      </c>
      <c r="E45" s="11" t="s">
        <v>142</v>
      </c>
      <c r="F45" s="11">
        <f>BoardQty*11</f>
        <v>0</v>
      </c>
      <c r="G45" s="12">
        <f>MINA(INDIRECT(ADDRESS(ROW(),COLUMN(digikey_part_data)+2)),INDIRECT(ADDRESS(ROW(),COLUMN(mouser_part_data)+2)))</f>
        <v>0</v>
      </c>
      <c r="H45" s="12">
        <f>iferror(F45*G45,"")</f>
        <v>0</v>
      </c>
    </row>
    <row r="46" spans="1:18">
      <c r="A46" s="11" t="s">
        <v>143</v>
      </c>
      <c r="B46" s="11" t="s">
        <v>144</v>
      </c>
      <c r="C46" s="11" t="s">
        <v>111</v>
      </c>
      <c r="D46" s="11" t="s">
        <v>121</v>
      </c>
      <c r="E46" s="11" t="s">
        <v>145</v>
      </c>
      <c r="F46" s="11">
        <f>BoardQty*15</f>
        <v>0</v>
      </c>
      <c r="G46" s="12">
        <f>MINA(INDIRECT(ADDRESS(ROW(),COLUMN(digikey_part_data)+2)),INDIRECT(ADDRESS(ROW(),COLUMN(mouser_part_data)+2)))</f>
        <v>0</v>
      </c>
      <c r="H46" s="12">
        <f>iferror(F46*G46,"")</f>
        <v>0</v>
      </c>
    </row>
    <row r="47" spans="1:18">
      <c r="A47" s="11" t="s">
        <v>146</v>
      </c>
      <c r="B47" s="11" t="s">
        <v>147</v>
      </c>
      <c r="C47" s="11" t="s">
        <v>148</v>
      </c>
      <c r="D47" s="11" t="s">
        <v>149</v>
      </c>
      <c r="E47" s="11" t="s">
        <v>150</v>
      </c>
      <c r="F47" s="11">
        <f>BoardQty*1</f>
        <v>0</v>
      </c>
      <c r="G47" s="12">
        <f>MINA(INDIRECT(ADDRESS(ROW(),COLUMN(digikey_part_data)+2)),INDIRECT(ADDRESS(ROW(),COLUMN(mouser_part_data)+2)))</f>
        <v>0</v>
      </c>
      <c r="H47" s="12">
        <f>iferror(F47*G47,"")</f>
        <v>0</v>
      </c>
      <c r="I47" s="11">
        <v>86667</v>
      </c>
      <c r="K47" s="12">
        <f>iferror(lookup(if(J47="",F47,J47),{0,1,10,25,100,250,500,1000,3000,5000,10000},{0.0,0.15,0.149,0.1412,0.1284,0.12068,0.11042,0.09245,0.08988,0.08474,0.07961}),"")</f>
        <v>0</v>
      </c>
      <c r="L47" s="12">
        <f>iferror(if(J47="",F47,J47)*K47,"")</f>
        <v>0</v>
      </c>
      <c r="M47" s="13" t="s">
        <v>206</v>
      </c>
      <c r="N47" s="11">
        <v>16210</v>
      </c>
      <c r="P47" s="12">
        <f>iferror(lookup(if(O47="",F47,O47),{0,1,10,50,100,1000,10000},{0.0,0.15,0.146,0.137,0.128,0.128,0.128}),"")</f>
        <v>0</v>
      </c>
      <c r="Q47" s="12">
        <f>iferror(if(O47="",F47,O47)*P47,"")</f>
        <v>0</v>
      </c>
      <c r="R47" s="13" t="s">
        <v>222</v>
      </c>
    </row>
    <row r="48" spans="1:18">
      <c r="A48" s="11" t="s">
        <v>151</v>
      </c>
      <c r="B48" s="11" t="s">
        <v>152</v>
      </c>
      <c r="C48" s="11" t="s">
        <v>148</v>
      </c>
      <c r="D48" s="11" t="s">
        <v>149</v>
      </c>
      <c r="E48" s="11" t="s">
        <v>150</v>
      </c>
      <c r="F48" s="11">
        <f>BoardQty*1</f>
        <v>0</v>
      </c>
      <c r="G48" s="12">
        <f>MINA(INDIRECT(ADDRESS(ROW(),COLUMN(digikey_part_data)+2)),INDIRECT(ADDRESS(ROW(),COLUMN(mouser_part_data)+2)))</f>
        <v>0</v>
      </c>
      <c r="H48" s="12">
        <f>iferror(F48*G48,"")</f>
        <v>0</v>
      </c>
      <c r="I48" s="11">
        <v>86667</v>
      </c>
      <c r="K48" s="12">
        <f>iferror(lookup(if(J48="",F48,J48),{0,1,10,25,100,250,500,1000,3000,5000,10000},{0.0,0.15,0.149,0.1412,0.1284,0.12068,0.11042,0.09245,0.08988,0.08474,0.07961}),"")</f>
        <v>0</v>
      </c>
      <c r="L48" s="12">
        <f>iferror(if(J48="",F48,J48)*K48,"")</f>
        <v>0</v>
      </c>
      <c r="M48" s="13" t="s">
        <v>206</v>
      </c>
      <c r="N48" s="11">
        <v>16210</v>
      </c>
      <c r="P48" s="12">
        <f>iferror(lookup(if(O48="",F48,O48),{0,1,10,50,100,1000,10000},{0.0,0.15,0.146,0.137,0.128,0.128,0.128}),"")</f>
        <v>0</v>
      </c>
      <c r="Q48" s="12">
        <f>iferror(if(O48="",F48,O48)*P48,"")</f>
        <v>0</v>
      </c>
      <c r="R48" s="13" t="s">
        <v>222</v>
      </c>
    </row>
    <row r="49" spans="1:18">
      <c r="A49" s="11" t="s">
        <v>153</v>
      </c>
      <c r="B49" s="11" t="s">
        <v>154</v>
      </c>
      <c r="C49" s="11" t="s">
        <v>148</v>
      </c>
      <c r="D49" s="11" t="s">
        <v>149</v>
      </c>
      <c r="E49" s="11" t="s">
        <v>150</v>
      </c>
      <c r="F49" s="11">
        <f>BoardQty*1</f>
        <v>0</v>
      </c>
      <c r="G49" s="12">
        <f>MINA(INDIRECT(ADDRESS(ROW(),COLUMN(digikey_part_data)+2)),INDIRECT(ADDRESS(ROW(),COLUMN(mouser_part_data)+2)))</f>
        <v>0</v>
      </c>
      <c r="H49" s="12">
        <f>iferror(F49*G49,"")</f>
        <v>0</v>
      </c>
      <c r="I49" s="11">
        <v>86667</v>
      </c>
      <c r="K49" s="12">
        <f>iferror(lookup(if(J49="",F49,J49),{0,1,10,25,100,250,500,1000,3000,5000,10000},{0.0,0.15,0.149,0.1412,0.1284,0.12068,0.11042,0.09245,0.08988,0.08474,0.07961}),"")</f>
        <v>0</v>
      </c>
      <c r="L49" s="12">
        <f>iferror(if(J49="",F49,J49)*K49,"")</f>
        <v>0</v>
      </c>
      <c r="M49" s="13" t="s">
        <v>206</v>
      </c>
      <c r="N49" s="11">
        <v>16210</v>
      </c>
      <c r="P49" s="12">
        <f>iferror(lookup(if(O49="",F49,O49),{0,1,10,50,100,1000,10000},{0.0,0.15,0.146,0.137,0.128,0.128,0.128}),"")</f>
        <v>0</v>
      </c>
      <c r="Q49" s="12">
        <f>iferror(if(O49="",F49,O49)*P49,"")</f>
        <v>0</v>
      </c>
      <c r="R49" s="13" t="s">
        <v>222</v>
      </c>
    </row>
    <row r="50" spans="1:18">
      <c r="A50" s="11" t="s">
        <v>155</v>
      </c>
      <c r="B50" s="11" t="s">
        <v>156</v>
      </c>
      <c r="C50" s="11" t="s">
        <v>157</v>
      </c>
      <c r="D50" s="11" t="s">
        <v>59</v>
      </c>
      <c r="E50" s="11" t="s">
        <v>158</v>
      </c>
      <c r="F50" s="11">
        <f>BoardQty*1</f>
        <v>0</v>
      </c>
      <c r="G50" s="12">
        <f>MINA(INDIRECT(ADDRESS(ROW(),COLUMN(digikey_part_data)+2)),INDIRECT(ADDRESS(ROW(),COLUMN(mouser_part_data)+2)))</f>
        <v>0</v>
      </c>
      <c r="H50" s="12">
        <f>iferror(F50*G50,"")</f>
        <v>0</v>
      </c>
      <c r="I50" s="11">
        <v>1000</v>
      </c>
      <c r="K50" s="12">
        <f>iferror(lookup(if(J50="",F50,J50),{0,1,10,25,100,250,500,1000},{0.0,5.06,4.541,4.2928,3.7206,3.5298,3.16728,3.006}),"")</f>
        <v>0</v>
      </c>
      <c r="L50" s="12">
        <f>iferror(if(J50="",F50,J50)*K50,"")</f>
        <v>0</v>
      </c>
      <c r="M50" s="13" t="s">
        <v>207</v>
      </c>
      <c r="N50" s="11">
        <v>1000</v>
      </c>
      <c r="P50" s="12">
        <f>iferror(lookup(if(O50="",F50,O50),{0,1,10,50,100,1000,10000},{0.0,5.06,4.55,4.3,3.73,2.69,2.6}),"")</f>
        <v>0</v>
      </c>
      <c r="Q50" s="12">
        <f>iferror(if(O50="",F50,O50)*P50,"")</f>
        <v>0</v>
      </c>
      <c r="R50" s="13" t="s">
        <v>223</v>
      </c>
    </row>
    <row r="51" spans="1:18">
      <c r="A51" s="11" t="s">
        <v>159</v>
      </c>
      <c r="B51" s="11" t="s">
        <v>160</v>
      </c>
      <c r="C51" s="11" t="s">
        <v>161</v>
      </c>
      <c r="D51" s="11" t="s">
        <v>162</v>
      </c>
      <c r="E51" s="11" t="s">
        <v>163</v>
      </c>
      <c r="F51" s="11">
        <f>BoardQty*1</f>
        <v>0</v>
      </c>
      <c r="G51" s="12">
        <f>MINA(INDIRECT(ADDRESS(ROW(),COLUMN(digikey_part_data)+2)),INDIRECT(ADDRESS(ROW(),COLUMN(mouser_part_data)+2)))</f>
        <v>0</v>
      </c>
      <c r="H51" s="12">
        <f>iferror(F51*G51,"")</f>
        <v>0</v>
      </c>
      <c r="I51" s="14" t="s">
        <v>202</v>
      </c>
      <c r="K51" s="12">
        <f>iferror(lookup(if(J51="",F51,J51),{0,1,10,25,80,250,500,1000},{0.0,4.88,4.381,4.1416,3.58938,3.40524,3.05552,2.68432}),"")</f>
        <v>0</v>
      </c>
      <c r="L51" s="12">
        <f>iferror(if(J51="",F51,J51)*K51,"")</f>
        <v>0</v>
      </c>
      <c r="M51" s="13" t="s">
        <v>208</v>
      </c>
      <c r="N51" s="14" t="s">
        <v>202</v>
      </c>
      <c r="P51" s="12">
        <f>iferror(lookup(if(O51="",F51,O51),{0,1,10,50,100,1000,10000},{0.0,4.88,3.59,3.59,3.4,2.22,2.21}),"")</f>
        <v>0</v>
      </c>
      <c r="Q51" s="12">
        <f>iferror(if(O51="",F51,O51)*P51,"")</f>
        <v>0</v>
      </c>
      <c r="R51" s="13" t="s">
        <v>224</v>
      </c>
    </row>
    <row r="52" spans="1:18">
      <c r="A52" s="11" t="s">
        <v>164</v>
      </c>
      <c r="B52" s="11" t="s">
        <v>165</v>
      </c>
      <c r="C52" s="11" t="s">
        <v>166</v>
      </c>
      <c r="D52" s="11" t="s">
        <v>167</v>
      </c>
      <c r="E52" s="11" t="s">
        <v>168</v>
      </c>
      <c r="F52" s="11">
        <f>BoardQty*1</f>
        <v>0</v>
      </c>
      <c r="G52" s="12">
        <f>MINA(INDIRECT(ADDRESS(ROW(),COLUMN(digikey_part_data)+2)),INDIRECT(ADDRESS(ROW(),COLUMN(mouser_part_data)+2)))</f>
        <v>0</v>
      </c>
      <c r="H52" s="12">
        <f>iferror(F52*G52,"")</f>
        <v>0</v>
      </c>
    </row>
    <row r="53" spans="1:18">
      <c r="A53" s="11" t="s">
        <v>169</v>
      </c>
      <c r="B53" s="11" t="s">
        <v>170</v>
      </c>
      <c r="C53" s="11" t="s">
        <v>171</v>
      </c>
      <c r="D53" s="11" t="s">
        <v>172</v>
      </c>
      <c r="E53" s="11" t="s">
        <v>173</v>
      </c>
      <c r="F53" s="11">
        <f>BoardQty*1</f>
        <v>0</v>
      </c>
      <c r="G53" s="12">
        <f>MINA(INDIRECT(ADDRESS(ROW(),COLUMN(digikey_part_data)+2)),INDIRECT(ADDRESS(ROW(),COLUMN(mouser_part_data)+2)))</f>
        <v>0</v>
      </c>
      <c r="H53" s="12">
        <f>iferror(F53*G53,"")</f>
        <v>0</v>
      </c>
    </row>
    <row r="55" spans="1:18">
      <c r="G55" s="1" t="s">
        <v>174</v>
      </c>
      <c r="H55" s="5">
        <f>SUM(INDIRECT(ADDRESS(ROW(),COLUMN(digikey_part_data)+3)),INDIRECT(ADDRESS(ROW(),COLUMN(mouser_part_data)+3)))</f>
        <v>0</v>
      </c>
      <c r="J55" s="6">
        <f>IFERROR(IF(OR(J7:J53),COUNTIFS(J7:J53,"&gt;0",L7:L53,"&lt;&gt;")&amp;" of "&amp;(ROWS(L7:L53)-COUNTBLANK(L7:L53))&amp;" parts purchased",""),"")</f>
        <v>0</v>
      </c>
      <c r="L55" s="5">
        <f>SUMIF(J7:J53,"&gt;0",L7:L53)</f>
        <v>0</v>
      </c>
      <c r="O55" s="6">
        <f>IFERROR(IF(OR(O7:O53),COUNTIFS(O7:O53,"&gt;0",Q7:Q53,"&lt;&gt;")&amp;" of "&amp;(ROWS(Q7:Q53)-COUNTBLANK(Q7:Q53))&amp;" parts purchased",""),"")</f>
        <v>0</v>
      </c>
      <c r="Q55" s="5">
        <f>SUMIF(O7:O53,"&gt;0",Q7:Q53)</f>
        <v>0</v>
      </c>
    </row>
    <row r="56" spans="1:18">
      <c r="A56" s="2" t="s">
        <v>225</v>
      </c>
      <c r="G56" s="15" t="s">
        <v>175</v>
      </c>
      <c r="J56">
        <f t="array" ref="J56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56">
        <f t="array" ref="O56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57" spans="1:18">
      <c r="J57">
        <f t="array" ref="J57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57">
        <f t="array" ref="O57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58" spans="1:18">
      <c r="J58">
        <f t="array" ref="J58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58">
        <f t="array" ref="O58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59" spans="1:18">
      <c r="J59">
        <f t="array" ref="J59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59">
        <f t="array" ref="O59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0" spans="1:18">
      <c r="J60">
        <f t="array" ref="J60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0">
        <f t="array" ref="O60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1" spans="1:18">
      <c r="J61">
        <f t="array" ref="J61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1">
        <f t="array" ref="O61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2" spans="1:18">
      <c r="J62">
        <f t="array" ref="J62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2">
        <f t="array" ref="O62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3" spans="1:18">
      <c r="J63">
        <f t="array" ref="J63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3">
        <f t="array" ref="O63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4" spans="1:18">
      <c r="J64">
        <f t="array" ref="J64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4">
        <f t="array" ref="O64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5" spans="10:15">
      <c r="J65">
        <f t="array" ref="J65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5">
        <f t="array" ref="O65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6" spans="10:15">
      <c r="J66">
        <f t="array" ref="J66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6">
        <f t="array" ref="O66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7" spans="10:15">
      <c r="J67">
        <f t="array" ref="J67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7">
        <f t="array" ref="O67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8" spans="10:15">
      <c r="J68">
        <f t="array" ref="J68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8">
        <f t="array" ref="O68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69" spans="10:15">
      <c r="J69">
        <f t="array" ref="J69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69">
        <f t="array" ref="O69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0" spans="10:15">
      <c r="J70">
        <f t="array" ref="J70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0">
        <f t="array" ref="O70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1" spans="10:15">
      <c r="J71">
        <f t="array" ref="J71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1">
        <f t="array" ref="O71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2" spans="10:15">
      <c r="J72">
        <f t="array" ref="J72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2">
        <f t="array" ref="O72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3" spans="10:15">
      <c r="J73">
        <f t="array" ref="J73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3">
        <f t="array" ref="O73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4" spans="10:15">
      <c r="J74">
        <f t="array" ref="J74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4">
        <f t="array" ref="O74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5" spans="10:15">
      <c r="J75">
        <f t="array" ref="J75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5">
        <f t="array" ref="O75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6" spans="10:15">
      <c r="J76">
        <f t="array" ref="J76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6">
        <f t="array" ref="O76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7" spans="10:15">
      <c r="J77">
        <f t="array" ref="J77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7">
        <f t="array" ref="O77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8" spans="10:15">
      <c r="J78">
        <f t="array" ref="J78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8">
        <f t="array" ref="O78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79" spans="10:15">
      <c r="J79">
        <f t="array" ref="J79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79">
        <f t="array" ref="O79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0" spans="10:15">
      <c r="J80">
        <f t="array" ref="J80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0">
        <f t="array" ref="O80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1" spans="10:15">
      <c r="J81">
        <f t="array" ref="J81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1">
        <f t="array" ref="O81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2" spans="10:15">
      <c r="J82">
        <f t="array" ref="J82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2">
        <f t="array" ref="O82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3" spans="10:15">
      <c r="J83">
        <f t="array" ref="J83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3">
        <f t="array" ref="O83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4" spans="10:15">
      <c r="J84">
        <f t="array" ref="J84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4">
        <f t="array" ref="O84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5" spans="10:15">
      <c r="J85">
        <f t="array" ref="J85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5">
        <f t="array" ref="O85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6" spans="10:15">
      <c r="J86">
        <f t="array" ref="J86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6">
        <f t="array" ref="O86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7" spans="10:15">
      <c r="J87">
        <f t="array" ref="J87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7">
        <f t="array" ref="O87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8" spans="10:15">
      <c r="J88">
        <f t="array" ref="J88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8">
        <f t="array" ref="O88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89" spans="10:15">
      <c r="J89">
        <f t="array" ref="J89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89">
        <f t="array" ref="O89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0" spans="10:15">
      <c r="J90">
        <f t="array" ref="J90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0">
        <f t="array" ref="O90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1" spans="10:15">
      <c r="J91">
        <f t="array" ref="J91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1">
        <f t="array" ref="O91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2" spans="10:15">
      <c r="J92">
        <f t="array" ref="J92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2">
        <f t="array" ref="O92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3" spans="10:15">
      <c r="J93">
        <f t="array" ref="J93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3">
        <f t="array" ref="O93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4" spans="10:15">
      <c r="J94">
        <f t="array" ref="J94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4">
        <f t="array" ref="O94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5" spans="10:15">
      <c r="J95">
        <f t="array" ref="J95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5">
        <f t="array" ref="O95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6" spans="10:15">
      <c r="J96">
        <f t="array" ref="J96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6">
        <f t="array" ref="O96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7" spans="10:15">
      <c r="J97">
        <f t="array" ref="J97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7">
        <f t="array" ref="O97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8" spans="10:15">
      <c r="J98">
        <f t="array" ref="J98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8">
        <f t="array" ref="O98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99" spans="10:15">
      <c r="J99">
        <f t="array" ref="J99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99">
        <f t="array" ref="O99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100" spans="10:15">
      <c r="J100">
        <f t="array" ref="J100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100">
        <f t="array" ref="O100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101" spans="10:15">
      <c r="J101">
        <f t="array" ref="J101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101">
        <f t="array" ref="O101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  <row r="102" spans="10:15">
      <c r="J102">
        <f t="array" ref="J102">IFERROR(CONCATENATE(TEXT(INDEX(J7:J53,SMALL(IF(ISNUMBER(J7:J53),IF(J7:J53&gt;0,IF(M7:M53&lt;&gt;"",ROW(J7:J53)-MIN(ROW(J7:J53))+1))),ROW()-ROW(A$56)+1)),"##0"),",",INDEX(M7:M53,SMALL(IF(ISNUMBER(J7:J53),IF(J7:J53&gt;0,IF(M7:M53&lt;&gt;"",ROW(J7:J53)-MIN(ROW(J7:J53))+1))),ROW()-ROW(A$56)+1)),",",SUBSTITUTE(INDEX(IF(PURCHASE_DESCRIPTION&lt;&gt;"",PURCHASE_DESCRIPTION&amp;":","")&amp;A7:A53,SMALL(IF(ISNUMBER(J7:J53),IF(J7:J53&gt;0,IF(M7:M53&lt;&gt;"",ROW(J7:J53)-MIN(ROW(J7:J53))+1))),ROW()-ROW(A$56)+1)),",",";")),"")</f>
        <v>0</v>
      </c>
      <c r="O102">
        <f t="array" ref="O102">IFERROR(CONCATENATE(INDEX(R7:R53,SMALL(IF(ISNUMBER(O7:O53),IF(O7:O53&gt;0,IF(R7:R53&lt;&gt;"",ROW(O7:O53)-MIN(ROW(O7:O53))+1))),ROW()-ROW(A$56)+1)),"|",TEXT(INDEX(O7:O53,SMALL(IF(ISNUMBER(O7:O53),IF(O7:O53&gt;0,IF(R7:R53&lt;&gt;"",ROW(O7:O53)-MIN(ROW(O7:O53))+1))),ROW()-ROW(A$56)+1)),"##0"),"|",SUBSTITUTE(SUBSTITUTE(INDEX(IF(PURCHASE_DESCRIPTION&lt;&gt;"",PURCHASE_DESCRIPTION&amp;":","")&amp;A7:A53,SMALL(IF(ISNUMBER(O7:O53),IF(O7:O53&gt;0,IF(R7:R53&lt;&gt;"",ROW(O7:O53)-MIN(ROW(O7:O53))+1))),ROW()-ROW(A$56)+1)),"|",";")," ","_")),"")</f>
        <v>0</v>
      </c>
    </row>
  </sheetData>
  <mergeCells count="3">
    <mergeCell ref="A5:H5"/>
    <mergeCell ref="I5:M5"/>
    <mergeCell ref="N5:R5"/>
  </mergeCells>
  <conditionalFormatting sqref="F10">
    <cfRule type="expression" dxfId="0" priority="13">
      <formula>AND(ISBLANK(E10),ISBLANK(INDIRECT(ADDRESS(ROW(),COLUMN(digikey_part_data)+4))),ISBLANK(INDIRECT(ADDRESS(ROW(),COLUMN(mouser_part_data)+4))))</formula>
    </cfRule>
    <cfRule type="expression" dxfId="1" priority="14">
      <formula>IF(SUM(INDIRECT(ADDRESS(ROW(),COLUMN(digikey_part_data)+0)),INDIRECT(ADDRESS(ROW(),COLUMN(mouser_part_data)+0)))=0,1,0)</formula>
    </cfRule>
    <cfRule type="cellIs" dxfId="2" priority="15" operator="greaterThan">
      <formula>SUM(INDIRECT(ADDRESS(ROW(),COLUMN(digikey_part_data)+0)),INDIRECT(ADDRESS(ROW(),COLUMN(mouser_part_data)+0)))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1">
    <cfRule type="expression" dxfId="0" priority="17">
      <formula>AND(ISBLANK(E11),ISBLANK(INDIRECT(ADDRESS(ROW(),COLUMN(digikey_part_data)+4))),ISBLANK(INDIRECT(ADDRESS(ROW(),COLUMN(mouser_part_data)+4))))</formula>
    </cfRule>
    <cfRule type="expression" dxfId="1" priority="18">
      <formula>IF(SUM(INDIRECT(ADDRESS(ROW(),COLUMN(digikey_part_data)+0)),INDIRECT(ADDRESS(ROW(),COLUMN(mouser_part_data)+0)))=0,1,0)</formula>
    </cfRule>
    <cfRule type="cellIs" dxfId="2" priority="19" operator="greaterThan">
      <formula>SUM(INDIRECT(ADDRESS(ROW(),COLUMN(digikey_part_data)+0)),INDIRECT(ADDRESS(ROW(),COLUMN(mouser_part_data)+0)))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2">
    <cfRule type="expression" dxfId="0" priority="21">
      <formula>AND(ISBLANK(E12),ISBLANK(INDIRECT(ADDRESS(ROW(),COLUMN(digikey_part_data)+4))),ISBLANK(INDIRECT(ADDRESS(ROW(),COLUMN(mouser_part_data)+4))))</formula>
    </cfRule>
    <cfRule type="expression" dxfId="1" priority="22">
      <formula>IF(SUM(INDIRECT(ADDRESS(ROW(),COLUMN(digikey_part_data)+0)),INDIRECT(ADDRESS(ROW(),COLUMN(mouser_part_data)+0)))=0,1,0)</formula>
    </cfRule>
    <cfRule type="cellIs" dxfId="2" priority="23" operator="greaterThan">
      <formula>SUM(INDIRECT(ADDRESS(ROW(),COLUMN(digikey_part_data)+0)),INDIRECT(ADDRESS(ROW(),COLUMN(mouser_part_data)+0)))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3">
    <cfRule type="expression" dxfId="0" priority="25">
      <formula>AND(ISBLANK(E13),ISBLANK(INDIRECT(ADDRESS(ROW(),COLUMN(digikey_part_data)+4))),ISBLANK(INDIRECT(ADDRESS(ROW(),COLUMN(mouser_part_data)+4))))</formula>
    </cfRule>
    <cfRule type="expression" dxfId="1" priority="26">
      <formula>IF(SUM(INDIRECT(ADDRESS(ROW(),COLUMN(digikey_part_data)+0)),INDIRECT(ADDRESS(ROW(),COLUMN(mouser_part_data)+0)))=0,1,0)</formula>
    </cfRule>
    <cfRule type="cellIs" dxfId="2" priority="27" operator="greaterThan">
      <formula>SUM(INDIRECT(ADDRESS(ROW(),COLUMN(digikey_part_data)+0)),INDIRECT(ADDRESS(ROW(),COLUMN(mouser_part_data)+0)))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4">
    <cfRule type="expression" dxfId="0" priority="29">
      <formula>AND(ISBLANK(E14),ISBLANK(INDIRECT(ADDRESS(ROW(),COLUMN(digikey_part_data)+4))),ISBLANK(INDIRECT(ADDRESS(ROW(),COLUMN(mouser_part_data)+4))))</formula>
    </cfRule>
    <cfRule type="expression" dxfId="1" priority="30">
      <formula>IF(SUM(INDIRECT(ADDRESS(ROW(),COLUMN(digikey_part_data)+0)),INDIRECT(ADDRESS(ROW(),COLUMN(mouser_part_data)+0)))=0,1,0)</formula>
    </cfRule>
    <cfRule type="cellIs" dxfId="2" priority="31" operator="greaterThan">
      <formula>SUM(INDIRECT(ADDRESS(ROW(),COLUMN(digikey_part_data)+0)),INDIRECT(ADDRESS(ROW(),COLUMN(mouser_part_data)+0)))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5">
    <cfRule type="expression" dxfId="0" priority="33">
      <formula>AND(ISBLANK(E15),ISBLANK(INDIRECT(ADDRESS(ROW(),COLUMN(digikey_part_data)+4))),ISBLANK(INDIRECT(ADDRESS(ROW(),COLUMN(mouser_part_data)+4))))</formula>
    </cfRule>
    <cfRule type="expression" dxfId="1" priority="34">
      <formula>IF(SUM(INDIRECT(ADDRESS(ROW(),COLUMN(digikey_part_data)+0)),INDIRECT(ADDRESS(ROW(),COLUMN(mouser_part_data)+0)))=0,1,0)</formula>
    </cfRule>
    <cfRule type="cellIs" dxfId="2" priority="35" operator="greaterThan">
      <formula>SUM(INDIRECT(ADDRESS(ROW(),COLUMN(digikey_part_data)+0)),INDIRECT(ADDRESS(ROW(),COLUMN(mouser_part_data)+0)))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6">
    <cfRule type="expression" dxfId="0" priority="37">
      <formula>AND(ISBLANK(E16),ISBLANK(INDIRECT(ADDRESS(ROW(),COLUMN(digikey_part_data)+4))),ISBLANK(INDIRECT(ADDRESS(ROW(),COLUMN(mouser_part_data)+4))))</formula>
    </cfRule>
    <cfRule type="expression" dxfId="1" priority="38">
      <formula>IF(SUM(INDIRECT(ADDRESS(ROW(),COLUMN(digikey_part_data)+0)),INDIRECT(ADDRESS(ROW(),COLUMN(mouser_part_data)+0)))=0,1,0)</formula>
    </cfRule>
    <cfRule type="cellIs" dxfId="2" priority="39" operator="greaterThan">
      <formula>SUM(INDIRECT(ADDRESS(ROW(),COLUMN(digikey_part_data)+0)),INDIRECT(ADDRESS(ROW(),COLUMN(mouser_part_data)+0)))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7">
    <cfRule type="expression" dxfId="0" priority="41">
      <formula>AND(ISBLANK(E17),ISBLANK(INDIRECT(ADDRESS(ROW(),COLUMN(digikey_part_data)+4))),ISBLANK(INDIRECT(ADDRESS(ROW(),COLUMN(mouser_part_data)+4))))</formula>
    </cfRule>
    <cfRule type="expression" dxfId="1" priority="42">
      <formula>IF(SUM(INDIRECT(ADDRESS(ROW(),COLUMN(digikey_part_data)+0)),INDIRECT(ADDRESS(ROW(),COLUMN(mouser_part_data)+0)))=0,1,0)</formula>
    </cfRule>
    <cfRule type="cellIs" dxfId="2" priority="43" operator="greaterThan">
      <formula>SUM(INDIRECT(ADDRESS(ROW(),COLUMN(digikey_part_data)+0)),INDIRECT(ADDRESS(ROW(),COLUMN(mouser_part_data)+0)))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8">
    <cfRule type="expression" dxfId="0" priority="45">
      <formula>AND(ISBLANK(E18),ISBLANK(INDIRECT(ADDRESS(ROW(),COLUMN(digikey_part_data)+4))),ISBLANK(INDIRECT(ADDRESS(ROW(),COLUMN(mouser_part_data)+4))))</formula>
    </cfRule>
    <cfRule type="expression" dxfId="1" priority="46">
      <formula>IF(SUM(INDIRECT(ADDRESS(ROW(),COLUMN(digikey_part_data)+0)),INDIRECT(ADDRESS(ROW(),COLUMN(mouser_part_data)+0)))=0,1,0)</formula>
    </cfRule>
    <cfRule type="cellIs" dxfId="2" priority="47" operator="greaterThan">
      <formula>SUM(INDIRECT(ADDRESS(ROW(),COLUMN(digikey_part_data)+0)),INDIRECT(ADDRESS(ROW(),COLUMN(mouser_part_data)+0)))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19">
    <cfRule type="expression" dxfId="0" priority="49">
      <formula>AND(ISBLANK(E19),ISBLANK(INDIRECT(ADDRESS(ROW(),COLUMN(digikey_part_data)+4))),ISBLANK(INDIRECT(ADDRESS(ROW(),COLUMN(mouser_part_data)+4))))</formula>
    </cfRule>
    <cfRule type="expression" dxfId="1" priority="50">
      <formula>IF(SUM(INDIRECT(ADDRESS(ROW(),COLUMN(digikey_part_data)+0)),INDIRECT(ADDRESS(ROW(),COLUMN(mouser_part_data)+0)))=0,1,0)</formula>
    </cfRule>
    <cfRule type="cellIs" dxfId="2" priority="51" operator="greaterThan">
      <formula>SUM(INDIRECT(ADDRESS(ROW(),COLUMN(digikey_part_data)+0)),INDIRECT(ADDRESS(ROW(),COLUMN(mouser_part_data)+0)))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0">
    <cfRule type="expression" dxfId="0" priority="53">
      <formula>AND(ISBLANK(E20),ISBLANK(INDIRECT(ADDRESS(ROW(),COLUMN(digikey_part_data)+4))),ISBLANK(INDIRECT(ADDRESS(ROW(),COLUMN(mouser_part_data)+4))))</formula>
    </cfRule>
    <cfRule type="expression" dxfId="1" priority="54">
      <formula>IF(SUM(INDIRECT(ADDRESS(ROW(),COLUMN(digikey_part_data)+0)),INDIRECT(ADDRESS(ROW(),COLUMN(mouser_part_data)+0)))=0,1,0)</formula>
    </cfRule>
    <cfRule type="cellIs" dxfId="2" priority="55" operator="greaterThan">
      <formula>SUM(INDIRECT(ADDRESS(ROW(),COLUMN(digikey_part_data)+0)),INDIRECT(ADDRESS(ROW(),COLUMN(mouser_part_data)+0)))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1">
    <cfRule type="expression" dxfId="0" priority="57">
      <formula>AND(ISBLANK(E21),ISBLANK(INDIRECT(ADDRESS(ROW(),COLUMN(digikey_part_data)+4))),ISBLANK(INDIRECT(ADDRESS(ROW(),COLUMN(mouser_part_data)+4))))</formula>
    </cfRule>
    <cfRule type="expression" dxfId="1" priority="58">
      <formula>IF(SUM(INDIRECT(ADDRESS(ROW(),COLUMN(digikey_part_data)+0)),INDIRECT(ADDRESS(ROW(),COLUMN(mouser_part_data)+0)))=0,1,0)</formula>
    </cfRule>
    <cfRule type="cellIs" dxfId="2" priority="59" operator="greaterThan">
      <formula>SUM(INDIRECT(ADDRESS(ROW(),COLUMN(digikey_part_data)+0)),INDIRECT(ADDRESS(ROW(),COLUMN(mouser_part_data)+0)))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2">
    <cfRule type="expression" dxfId="0" priority="61">
      <formula>AND(ISBLANK(E22),ISBLANK(INDIRECT(ADDRESS(ROW(),COLUMN(digikey_part_data)+4))),ISBLANK(INDIRECT(ADDRESS(ROW(),COLUMN(mouser_part_data)+4))))</formula>
    </cfRule>
    <cfRule type="expression" dxfId="1" priority="62">
      <formula>IF(SUM(INDIRECT(ADDRESS(ROW(),COLUMN(digikey_part_data)+0)),INDIRECT(ADDRESS(ROW(),COLUMN(mouser_part_data)+0)))=0,1,0)</formula>
    </cfRule>
    <cfRule type="cellIs" dxfId="2" priority="63" operator="greaterThan">
      <formula>SUM(INDIRECT(ADDRESS(ROW(),COLUMN(digikey_part_data)+0)),INDIRECT(ADDRESS(ROW(),COLUMN(mouser_part_data)+0)))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3">
    <cfRule type="expression" dxfId="0" priority="65">
      <formula>AND(ISBLANK(E23),ISBLANK(INDIRECT(ADDRESS(ROW(),COLUMN(digikey_part_data)+4))),ISBLANK(INDIRECT(ADDRESS(ROW(),COLUMN(mouser_part_data)+4))))</formula>
    </cfRule>
    <cfRule type="expression" dxfId="1" priority="66">
      <formula>IF(SUM(INDIRECT(ADDRESS(ROW(),COLUMN(digikey_part_data)+0)),INDIRECT(ADDRESS(ROW(),COLUMN(mouser_part_data)+0)))=0,1,0)</formula>
    </cfRule>
    <cfRule type="cellIs" dxfId="2" priority="67" operator="greaterThan">
      <formula>SUM(INDIRECT(ADDRESS(ROW(),COLUMN(digikey_part_data)+0)),INDIRECT(ADDRESS(ROW(),COLUMN(mouser_part_data)+0)))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4">
    <cfRule type="expression" dxfId="0" priority="69">
      <formula>AND(ISBLANK(E24),ISBLANK(INDIRECT(ADDRESS(ROW(),COLUMN(digikey_part_data)+4))),ISBLANK(INDIRECT(ADDRESS(ROW(),COLUMN(mouser_part_data)+4))))</formula>
    </cfRule>
    <cfRule type="expression" dxfId="1" priority="70">
      <formula>IF(SUM(INDIRECT(ADDRESS(ROW(),COLUMN(digikey_part_data)+0)),INDIRECT(ADDRESS(ROW(),COLUMN(mouser_part_data)+0)))=0,1,0)</formula>
    </cfRule>
    <cfRule type="cellIs" dxfId="2" priority="71" operator="greaterThan">
      <formula>SUM(INDIRECT(ADDRESS(ROW(),COLUMN(digikey_part_data)+0)),INDIRECT(ADDRESS(ROW(),COLUMN(mouser_part_data)+0)))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5">
    <cfRule type="expression" dxfId="0" priority="73">
      <formula>AND(ISBLANK(E25),ISBLANK(INDIRECT(ADDRESS(ROW(),COLUMN(digikey_part_data)+4))),ISBLANK(INDIRECT(ADDRESS(ROW(),COLUMN(mouser_part_data)+4))))</formula>
    </cfRule>
    <cfRule type="expression" dxfId="1" priority="74">
      <formula>IF(SUM(INDIRECT(ADDRESS(ROW(),COLUMN(digikey_part_data)+0)),INDIRECT(ADDRESS(ROW(),COLUMN(mouser_part_data)+0)))=0,1,0)</formula>
    </cfRule>
    <cfRule type="cellIs" dxfId="2" priority="75" operator="greaterThan">
      <formula>SUM(INDIRECT(ADDRESS(ROW(),COLUMN(digikey_part_data)+0)),INDIRECT(ADDRESS(ROW(),COLUMN(mouser_part_data)+0)))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6">
    <cfRule type="expression" dxfId="0" priority="77">
      <formula>AND(ISBLANK(E26),ISBLANK(INDIRECT(ADDRESS(ROW(),COLUMN(digikey_part_data)+4))),ISBLANK(INDIRECT(ADDRESS(ROW(),COLUMN(mouser_part_data)+4))))</formula>
    </cfRule>
    <cfRule type="expression" dxfId="1" priority="78">
      <formula>IF(SUM(INDIRECT(ADDRESS(ROW(),COLUMN(digikey_part_data)+0)),INDIRECT(ADDRESS(ROW(),COLUMN(mouser_part_data)+0)))=0,1,0)</formula>
    </cfRule>
    <cfRule type="cellIs" dxfId="2" priority="79" operator="greaterThan">
      <formula>SUM(INDIRECT(ADDRESS(ROW(),COLUMN(digikey_part_data)+0)),INDIRECT(ADDRESS(ROW(),COLUMN(mouser_part_data)+0)))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7">
    <cfRule type="expression" dxfId="0" priority="81">
      <formula>AND(ISBLANK(E27),ISBLANK(INDIRECT(ADDRESS(ROW(),COLUMN(digikey_part_data)+4))),ISBLANK(INDIRECT(ADDRESS(ROW(),COLUMN(mouser_part_data)+4))))</formula>
    </cfRule>
    <cfRule type="expression" dxfId="1" priority="82">
      <formula>IF(SUM(INDIRECT(ADDRESS(ROW(),COLUMN(digikey_part_data)+0)),INDIRECT(ADDRESS(ROW(),COLUMN(mouser_part_data)+0)))=0,1,0)</formula>
    </cfRule>
    <cfRule type="cellIs" dxfId="2" priority="83" operator="greaterThan">
      <formula>SUM(INDIRECT(ADDRESS(ROW(),COLUMN(digikey_part_data)+0)),INDIRECT(ADDRESS(ROW(),COLUMN(mouser_part_data)+0)))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8">
    <cfRule type="expression" dxfId="0" priority="85">
      <formula>AND(ISBLANK(E28),ISBLANK(INDIRECT(ADDRESS(ROW(),COLUMN(digikey_part_data)+4))),ISBLANK(INDIRECT(ADDRESS(ROW(),COLUMN(mouser_part_data)+4))))</formula>
    </cfRule>
    <cfRule type="expression" dxfId="1" priority="86">
      <formula>IF(SUM(INDIRECT(ADDRESS(ROW(),COLUMN(digikey_part_data)+0)),INDIRECT(ADDRESS(ROW(),COLUMN(mouser_part_data)+0)))=0,1,0)</formula>
    </cfRule>
    <cfRule type="cellIs" dxfId="2" priority="87" operator="greaterThan">
      <formula>SUM(INDIRECT(ADDRESS(ROW(),COLUMN(digikey_part_data)+0)),INDIRECT(ADDRESS(ROW(),COLUMN(mouser_part_data)+0)))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29">
    <cfRule type="expression" dxfId="0" priority="89">
      <formula>AND(ISBLANK(E29),ISBLANK(INDIRECT(ADDRESS(ROW(),COLUMN(digikey_part_data)+4))),ISBLANK(INDIRECT(ADDRESS(ROW(),COLUMN(mouser_part_data)+4))))</formula>
    </cfRule>
    <cfRule type="expression" dxfId="1" priority="90">
      <formula>IF(SUM(INDIRECT(ADDRESS(ROW(),COLUMN(digikey_part_data)+0)),INDIRECT(ADDRESS(ROW(),COLUMN(mouser_part_data)+0)))=0,1,0)</formula>
    </cfRule>
    <cfRule type="cellIs" dxfId="2" priority="91" operator="greaterThan">
      <formula>SUM(INDIRECT(ADDRESS(ROW(),COLUMN(digikey_part_data)+0)),INDIRECT(ADDRESS(ROW(),COLUMN(mouser_part_data)+0)))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0">
    <cfRule type="expression" dxfId="0" priority="93">
      <formula>AND(ISBLANK(E30),ISBLANK(INDIRECT(ADDRESS(ROW(),COLUMN(digikey_part_data)+4))),ISBLANK(INDIRECT(ADDRESS(ROW(),COLUMN(mouser_part_data)+4))))</formula>
    </cfRule>
    <cfRule type="expression" dxfId="1" priority="94">
      <formula>IF(SUM(INDIRECT(ADDRESS(ROW(),COLUMN(digikey_part_data)+0)),INDIRECT(ADDRESS(ROW(),COLUMN(mouser_part_data)+0)))=0,1,0)</formula>
    </cfRule>
    <cfRule type="cellIs" dxfId="2" priority="95" operator="greaterThan">
      <formula>SUM(INDIRECT(ADDRESS(ROW(),COLUMN(digikey_part_data)+0)),INDIRECT(ADDRESS(ROW(),COLUMN(mouser_part_data)+0)))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1">
    <cfRule type="expression" dxfId="0" priority="97">
      <formula>AND(ISBLANK(E31),ISBLANK(INDIRECT(ADDRESS(ROW(),COLUMN(digikey_part_data)+4))),ISBLANK(INDIRECT(ADDRESS(ROW(),COLUMN(mouser_part_data)+4))))</formula>
    </cfRule>
    <cfRule type="expression" dxfId="1" priority="98">
      <formula>IF(SUM(INDIRECT(ADDRESS(ROW(),COLUMN(digikey_part_data)+0)),INDIRECT(ADDRESS(ROW(),COLUMN(mouser_part_data)+0)))=0,1,0)</formula>
    </cfRule>
    <cfRule type="cellIs" dxfId="2" priority="99" operator="greaterThan">
      <formula>SUM(INDIRECT(ADDRESS(ROW(),COLUMN(digikey_part_data)+0)),INDIRECT(ADDRESS(ROW(),COLUMN(mouser_part_data)+0)))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2">
    <cfRule type="expression" dxfId="0" priority="101">
      <formula>AND(ISBLANK(E32),ISBLANK(INDIRECT(ADDRESS(ROW(),COLUMN(digikey_part_data)+4))),ISBLANK(INDIRECT(ADDRESS(ROW(),COLUMN(mouser_part_data)+4))))</formula>
    </cfRule>
    <cfRule type="expression" dxfId="1" priority="102">
      <formula>IF(SUM(INDIRECT(ADDRESS(ROW(),COLUMN(digikey_part_data)+0)),INDIRECT(ADDRESS(ROW(),COLUMN(mouser_part_data)+0)))=0,1,0)</formula>
    </cfRule>
    <cfRule type="cellIs" dxfId="2" priority="103" operator="greaterThan">
      <formula>SUM(INDIRECT(ADDRESS(ROW(),COLUMN(digikey_part_data)+0)),INDIRECT(ADDRESS(ROW(),COLUMN(mouser_part_data)+0)))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3">
    <cfRule type="expression" dxfId="0" priority="105">
      <formula>AND(ISBLANK(E33),ISBLANK(INDIRECT(ADDRESS(ROW(),COLUMN(digikey_part_data)+4))),ISBLANK(INDIRECT(ADDRESS(ROW(),COLUMN(mouser_part_data)+4))))</formula>
    </cfRule>
    <cfRule type="expression" dxfId="1" priority="106">
      <formula>IF(SUM(INDIRECT(ADDRESS(ROW(),COLUMN(digikey_part_data)+0)),INDIRECT(ADDRESS(ROW(),COLUMN(mouser_part_data)+0)))=0,1,0)</formula>
    </cfRule>
    <cfRule type="cellIs" dxfId="2" priority="107" operator="greaterThan">
      <formula>SUM(INDIRECT(ADDRESS(ROW(),COLUMN(digikey_part_data)+0)),INDIRECT(ADDRESS(ROW(),COLUMN(mouser_part_data)+0)))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4">
    <cfRule type="expression" dxfId="0" priority="109">
      <formula>AND(ISBLANK(E34),ISBLANK(INDIRECT(ADDRESS(ROW(),COLUMN(digikey_part_data)+4))),ISBLANK(INDIRECT(ADDRESS(ROW(),COLUMN(mouser_part_data)+4))))</formula>
    </cfRule>
    <cfRule type="expression" dxfId="1" priority="110">
      <formula>IF(SUM(INDIRECT(ADDRESS(ROW(),COLUMN(digikey_part_data)+0)),INDIRECT(ADDRESS(ROW(),COLUMN(mouser_part_data)+0)))=0,1,0)</formula>
    </cfRule>
    <cfRule type="cellIs" dxfId="2" priority="111" operator="greaterThan">
      <formula>SUM(INDIRECT(ADDRESS(ROW(),COLUMN(digikey_part_data)+0)),INDIRECT(ADDRESS(ROW(),COLUMN(mouser_part_data)+0)))</formula>
    </cfRule>
    <cfRule type="cellIs" dxfId="3" priority="11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5">
    <cfRule type="expression" dxfId="0" priority="113">
      <formula>AND(ISBLANK(E35),ISBLANK(INDIRECT(ADDRESS(ROW(),COLUMN(digikey_part_data)+4))),ISBLANK(INDIRECT(ADDRESS(ROW(),COLUMN(mouser_part_data)+4))))</formula>
    </cfRule>
    <cfRule type="expression" dxfId="1" priority="114">
      <formula>IF(SUM(INDIRECT(ADDRESS(ROW(),COLUMN(digikey_part_data)+0)),INDIRECT(ADDRESS(ROW(),COLUMN(mouser_part_data)+0)))=0,1,0)</formula>
    </cfRule>
    <cfRule type="cellIs" dxfId="2" priority="115" operator="greaterThan">
      <formula>SUM(INDIRECT(ADDRESS(ROW(),COLUMN(digikey_part_data)+0)),INDIRECT(ADDRESS(ROW(),COLUMN(mouser_part_data)+0)))</formula>
    </cfRule>
    <cfRule type="cellIs" dxfId="3" priority="11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6">
    <cfRule type="expression" dxfId="0" priority="117">
      <formula>AND(ISBLANK(E36),ISBLANK(INDIRECT(ADDRESS(ROW(),COLUMN(digikey_part_data)+4))),ISBLANK(INDIRECT(ADDRESS(ROW(),COLUMN(mouser_part_data)+4))))</formula>
    </cfRule>
    <cfRule type="expression" dxfId="1" priority="118">
      <formula>IF(SUM(INDIRECT(ADDRESS(ROW(),COLUMN(digikey_part_data)+0)),INDIRECT(ADDRESS(ROW(),COLUMN(mouser_part_data)+0)))=0,1,0)</formula>
    </cfRule>
    <cfRule type="cellIs" dxfId="2" priority="119" operator="greaterThan">
      <formula>SUM(INDIRECT(ADDRESS(ROW(),COLUMN(digikey_part_data)+0)),INDIRECT(ADDRESS(ROW(),COLUMN(mouser_part_data)+0)))</formula>
    </cfRule>
    <cfRule type="cellIs" dxfId="3" priority="12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7">
    <cfRule type="expression" dxfId="0" priority="121">
      <formula>AND(ISBLANK(E37),ISBLANK(INDIRECT(ADDRESS(ROW(),COLUMN(digikey_part_data)+4))),ISBLANK(INDIRECT(ADDRESS(ROW(),COLUMN(mouser_part_data)+4))))</formula>
    </cfRule>
    <cfRule type="expression" dxfId="1" priority="122">
      <formula>IF(SUM(INDIRECT(ADDRESS(ROW(),COLUMN(digikey_part_data)+0)),INDIRECT(ADDRESS(ROW(),COLUMN(mouser_part_data)+0)))=0,1,0)</formula>
    </cfRule>
    <cfRule type="cellIs" dxfId="2" priority="123" operator="greaterThan">
      <formula>SUM(INDIRECT(ADDRESS(ROW(),COLUMN(digikey_part_data)+0)),INDIRECT(ADDRESS(ROW(),COLUMN(mouser_part_data)+0)))</formula>
    </cfRule>
    <cfRule type="cellIs" dxfId="3" priority="12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8">
    <cfRule type="expression" dxfId="0" priority="125">
      <formula>AND(ISBLANK(E38),ISBLANK(INDIRECT(ADDRESS(ROW(),COLUMN(digikey_part_data)+4))),ISBLANK(INDIRECT(ADDRESS(ROW(),COLUMN(mouser_part_data)+4))))</formula>
    </cfRule>
    <cfRule type="expression" dxfId="1" priority="126">
      <formula>IF(SUM(INDIRECT(ADDRESS(ROW(),COLUMN(digikey_part_data)+0)),INDIRECT(ADDRESS(ROW(),COLUMN(mouser_part_data)+0)))=0,1,0)</formula>
    </cfRule>
    <cfRule type="cellIs" dxfId="2" priority="127" operator="greaterThan">
      <formula>SUM(INDIRECT(ADDRESS(ROW(),COLUMN(digikey_part_data)+0)),INDIRECT(ADDRESS(ROW(),COLUMN(mouser_part_data)+0)))</formula>
    </cfRule>
    <cfRule type="cellIs" dxfId="3" priority="12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39">
    <cfRule type="expression" dxfId="0" priority="129">
      <formula>AND(ISBLANK(E39),ISBLANK(INDIRECT(ADDRESS(ROW(),COLUMN(digikey_part_data)+4))),ISBLANK(INDIRECT(ADDRESS(ROW(),COLUMN(mouser_part_data)+4))))</formula>
    </cfRule>
    <cfRule type="expression" dxfId="1" priority="130">
      <formula>IF(SUM(INDIRECT(ADDRESS(ROW(),COLUMN(digikey_part_data)+0)),INDIRECT(ADDRESS(ROW(),COLUMN(mouser_part_data)+0)))=0,1,0)</formula>
    </cfRule>
    <cfRule type="cellIs" dxfId="2" priority="131" operator="greaterThan">
      <formula>SUM(INDIRECT(ADDRESS(ROW(),COLUMN(digikey_part_data)+0)),INDIRECT(ADDRESS(ROW(),COLUMN(mouser_part_data)+0)))</formula>
    </cfRule>
    <cfRule type="cellIs" dxfId="3" priority="13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0">
    <cfRule type="expression" dxfId="0" priority="133">
      <formula>AND(ISBLANK(E40),ISBLANK(INDIRECT(ADDRESS(ROW(),COLUMN(digikey_part_data)+4))),ISBLANK(INDIRECT(ADDRESS(ROW(),COLUMN(mouser_part_data)+4))))</formula>
    </cfRule>
    <cfRule type="expression" dxfId="1" priority="134">
      <formula>IF(SUM(INDIRECT(ADDRESS(ROW(),COLUMN(digikey_part_data)+0)),INDIRECT(ADDRESS(ROW(),COLUMN(mouser_part_data)+0)))=0,1,0)</formula>
    </cfRule>
    <cfRule type="cellIs" dxfId="2" priority="135" operator="greaterThan">
      <formula>SUM(INDIRECT(ADDRESS(ROW(),COLUMN(digikey_part_data)+0)),INDIRECT(ADDRESS(ROW(),COLUMN(mouser_part_data)+0)))</formula>
    </cfRule>
    <cfRule type="cellIs" dxfId="3" priority="13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1">
    <cfRule type="expression" dxfId="0" priority="137">
      <formula>AND(ISBLANK(E41),ISBLANK(INDIRECT(ADDRESS(ROW(),COLUMN(digikey_part_data)+4))),ISBLANK(INDIRECT(ADDRESS(ROW(),COLUMN(mouser_part_data)+4))))</formula>
    </cfRule>
    <cfRule type="expression" dxfId="1" priority="138">
      <formula>IF(SUM(INDIRECT(ADDRESS(ROW(),COLUMN(digikey_part_data)+0)),INDIRECT(ADDRESS(ROW(),COLUMN(mouser_part_data)+0)))=0,1,0)</formula>
    </cfRule>
    <cfRule type="cellIs" dxfId="2" priority="139" operator="greaterThan">
      <formula>SUM(INDIRECT(ADDRESS(ROW(),COLUMN(digikey_part_data)+0)),INDIRECT(ADDRESS(ROW(),COLUMN(mouser_part_data)+0)))</formula>
    </cfRule>
    <cfRule type="cellIs" dxfId="3" priority="14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2">
    <cfRule type="expression" dxfId="0" priority="141">
      <formula>AND(ISBLANK(E42),ISBLANK(INDIRECT(ADDRESS(ROW(),COLUMN(digikey_part_data)+4))),ISBLANK(INDIRECT(ADDRESS(ROW(),COLUMN(mouser_part_data)+4))))</formula>
    </cfRule>
    <cfRule type="expression" dxfId="1" priority="142">
      <formula>IF(SUM(INDIRECT(ADDRESS(ROW(),COLUMN(digikey_part_data)+0)),INDIRECT(ADDRESS(ROW(),COLUMN(mouser_part_data)+0)))=0,1,0)</formula>
    </cfRule>
    <cfRule type="cellIs" dxfId="2" priority="143" operator="greaterThan">
      <formula>SUM(INDIRECT(ADDRESS(ROW(),COLUMN(digikey_part_data)+0)),INDIRECT(ADDRESS(ROW(),COLUMN(mouser_part_data)+0)))</formula>
    </cfRule>
    <cfRule type="cellIs" dxfId="3" priority="14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3">
    <cfRule type="expression" dxfId="0" priority="145">
      <formula>AND(ISBLANK(E43),ISBLANK(INDIRECT(ADDRESS(ROW(),COLUMN(digikey_part_data)+4))),ISBLANK(INDIRECT(ADDRESS(ROW(),COLUMN(mouser_part_data)+4))))</formula>
    </cfRule>
    <cfRule type="expression" dxfId="1" priority="146">
      <formula>IF(SUM(INDIRECT(ADDRESS(ROW(),COLUMN(digikey_part_data)+0)),INDIRECT(ADDRESS(ROW(),COLUMN(mouser_part_data)+0)))=0,1,0)</formula>
    </cfRule>
    <cfRule type="cellIs" dxfId="2" priority="147" operator="greaterThan">
      <formula>SUM(INDIRECT(ADDRESS(ROW(),COLUMN(digikey_part_data)+0)),INDIRECT(ADDRESS(ROW(),COLUMN(mouser_part_data)+0)))</formula>
    </cfRule>
    <cfRule type="cellIs" dxfId="3" priority="14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4">
    <cfRule type="expression" dxfId="0" priority="149">
      <formula>AND(ISBLANK(E44),ISBLANK(INDIRECT(ADDRESS(ROW(),COLUMN(digikey_part_data)+4))),ISBLANK(INDIRECT(ADDRESS(ROW(),COLUMN(mouser_part_data)+4))))</formula>
    </cfRule>
    <cfRule type="expression" dxfId="1" priority="150">
      <formula>IF(SUM(INDIRECT(ADDRESS(ROW(),COLUMN(digikey_part_data)+0)),INDIRECT(ADDRESS(ROW(),COLUMN(mouser_part_data)+0)))=0,1,0)</formula>
    </cfRule>
    <cfRule type="cellIs" dxfId="2" priority="151" operator="greaterThan">
      <formula>SUM(INDIRECT(ADDRESS(ROW(),COLUMN(digikey_part_data)+0)),INDIRECT(ADDRESS(ROW(),COLUMN(mouser_part_data)+0)))</formula>
    </cfRule>
    <cfRule type="cellIs" dxfId="3" priority="15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5">
    <cfRule type="expression" dxfId="0" priority="153">
      <formula>AND(ISBLANK(E45),ISBLANK(INDIRECT(ADDRESS(ROW(),COLUMN(digikey_part_data)+4))),ISBLANK(INDIRECT(ADDRESS(ROW(),COLUMN(mouser_part_data)+4))))</formula>
    </cfRule>
    <cfRule type="expression" dxfId="1" priority="154">
      <formula>IF(SUM(INDIRECT(ADDRESS(ROW(),COLUMN(digikey_part_data)+0)),INDIRECT(ADDRESS(ROW(),COLUMN(mouser_part_data)+0)))=0,1,0)</formula>
    </cfRule>
    <cfRule type="cellIs" dxfId="2" priority="155" operator="greaterThan">
      <formula>SUM(INDIRECT(ADDRESS(ROW(),COLUMN(digikey_part_data)+0)),INDIRECT(ADDRESS(ROW(),COLUMN(mouser_part_data)+0)))</formula>
    </cfRule>
    <cfRule type="cellIs" dxfId="3" priority="15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6">
    <cfRule type="expression" dxfId="0" priority="157">
      <formula>AND(ISBLANK(E46),ISBLANK(INDIRECT(ADDRESS(ROW(),COLUMN(digikey_part_data)+4))),ISBLANK(INDIRECT(ADDRESS(ROW(),COLUMN(mouser_part_data)+4))))</formula>
    </cfRule>
    <cfRule type="expression" dxfId="1" priority="158">
      <formula>IF(SUM(INDIRECT(ADDRESS(ROW(),COLUMN(digikey_part_data)+0)),INDIRECT(ADDRESS(ROW(),COLUMN(mouser_part_data)+0)))=0,1,0)</formula>
    </cfRule>
    <cfRule type="cellIs" dxfId="2" priority="159" operator="greaterThan">
      <formula>SUM(INDIRECT(ADDRESS(ROW(),COLUMN(digikey_part_data)+0)),INDIRECT(ADDRESS(ROW(),COLUMN(mouser_part_data)+0)))</formula>
    </cfRule>
    <cfRule type="cellIs" dxfId="3" priority="16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7">
    <cfRule type="expression" dxfId="0" priority="161">
      <formula>AND(ISBLANK(E47),ISBLANK(INDIRECT(ADDRESS(ROW(),COLUMN(digikey_part_data)+4))),ISBLANK(INDIRECT(ADDRESS(ROW(),COLUMN(mouser_part_data)+4))))</formula>
    </cfRule>
    <cfRule type="expression" dxfId="1" priority="162">
      <formula>IF(SUM(INDIRECT(ADDRESS(ROW(),COLUMN(digikey_part_data)+0)),INDIRECT(ADDRESS(ROW(),COLUMN(mouser_part_data)+0)))=0,1,0)</formula>
    </cfRule>
    <cfRule type="cellIs" dxfId="2" priority="163" operator="greaterThan">
      <formula>SUM(INDIRECT(ADDRESS(ROW(),COLUMN(digikey_part_data)+0)),INDIRECT(ADDRESS(ROW(),COLUMN(mouser_part_data)+0)))</formula>
    </cfRule>
    <cfRule type="cellIs" dxfId="3" priority="16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8">
    <cfRule type="expression" dxfId="0" priority="165">
      <formula>AND(ISBLANK(E48),ISBLANK(INDIRECT(ADDRESS(ROW(),COLUMN(digikey_part_data)+4))),ISBLANK(INDIRECT(ADDRESS(ROW(),COLUMN(mouser_part_data)+4))))</formula>
    </cfRule>
    <cfRule type="expression" dxfId="1" priority="166">
      <formula>IF(SUM(INDIRECT(ADDRESS(ROW(),COLUMN(digikey_part_data)+0)),INDIRECT(ADDRESS(ROW(),COLUMN(mouser_part_data)+0)))=0,1,0)</formula>
    </cfRule>
    <cfRule type="cellIs" dxfId="2" priority="167" operator="greaterThan">
      <formula>SUM(INDIRECT(ADDRESS(ROW(),COLUMN(digikey_part_data)+0)),INDIRECT(ADDRESS(ROW(),COLUMN(mouser_part_data)+0)))</formula>
    </cfRule>
    <cfRule type="cellIs" dxfId="3" priority="16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49">
    <cfRule type="expression" dxfId="0" priority="169">
      <formula>AND(ISBLANK(E49),ISBLANK(INDIRECT(ADDRESS(ROW(),COLUMN(digikey_part_data)+4))),ISBLANK(INDIRECT(ADDRESS(ROW(),COLUMN(mouser_part_data)+4))))</formula>
    </cfRule>
    <cfRule type="expression" dxfId="1" priority="170">
      <formula>IF(SUM(INDIRECT(ADDRESS(ROW(),COLUMN(digikey_part_data)+0)),INDIRECT(ADDRESS(ROW(),COLUMN(mouser_part_data)+0)))=0,1,0)</formula>
    </cfRule>
    <cfRule type="cellIs" dxfId="2" priority="171" operator="greaterThan">
      <formula>SUM(INDIRECT(ADDRESS(ROW(),COLUMN(digikey_part_data)+0)),INDIRECT(ADDRESS(ROW(),COLUMN(mouser_part_data)+0)))</formula>
    </cfRule>
    <cfRule type="cellIs" dxfId="3" priority="17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50">
    <cfRule type="expression" dxfId="0" priority="173">
      <formula>AND(ISBLANK(E50),ISBLANK(INDIRECT(ADDRESS(ROW(),COLUMN(digikey_part_data)+4))),ISBLANK(INDIRECT(ADDRESS(ROW(),COLUMN(mouser_part_data)+4))))</formula>
    </cfRule>
    <cfRule type="expression" dxfId="1" priority="174">
      <formula>IF(SUM(INDIRECT(ADDRESS(ROW(),COLUMN(digikey_part_data)+0)),INDIRECT(ADDRESS(ROW(),COLUMN(mouser_part_data)+0)))=0,1,0)</formula>
    </cfRule>
    <cfRule type="cellIs" dxfId="2" priority="175" operator="greaterThan">
      <formula>SUM(INDIRECT(ADDRESS(ROW(),COLUMN(digikey_part_data)+0)),INDIRECT(ADDRESS(ROW(),COLUMN(mouser_part_data)+0)))</formula>
    </cfRule>
    <cfRule type="cellIs" dxfId="3" priority="17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51">
    <cfRule type="expression" dxfId="0" priority="177">
      <formula>AND(ISBLANK(E51),ISBLANK(INDIRECT(ADDRESS(ROW(),COLUMN(digikey_part_data)+4))),ISBLANK(INDIRECT(ADDRESS(ROW(),COLUMN(mouser_part_data)+4))))</formula>
    </cfRule>
    <cfRule type="expression" dxfId="1" priority="178">
      <formula>IF(SUM(INDIRECT(ADDRESS(ROW(),COLUMN(digikey_part_data)+0)),INDIRECT(ADDRESS(ROW(),COLUMN(mouser_part_data)+0)))=0,1,0)</formula>
    </cfRule>
    <cfRule type="cellIs" dxfId="2" priority="179" operator="greaterThan">
      <formula>SUM(INDIRECT(ADDRESS(ROW(),COLUMN(digikey_part_data)+0)),INDIRECT(ADDRESS(ROW(),COLUMN(mouser_part_data)+0)))</formula>
    </cfRule>
    <cfRule type="cellIs" dxfId="3" priority="18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52">
    <cfRule type="expression" dxfId="0" priority="181">
      <formula>AND(ISBLANK(E52),ISBLANK(INDIRECT(ADDRESS(ROW(),COLUMN(digikey_part_data)+4))),ISBLANK(INDIRECT(ADDRESS(ROW(),COLUMN(mouser_part_data)+4))))</formula>
    </cfRule>
    <cfRule type="expression" dxfId="1" priority="182">
      <formula>IF(SUM(INDIRECT(ADDRESS(ROW(),COLUMN(digikey_part_data)+0)),INDIRECT(ADDRESS(ROW(),COLUMN(mouser_part_data)+0)))=0,1,0)</formula>
    </cfRule>
    <cfRule type="cellIs" dxfId="2" priority="183" operator="greaterThan">
      <formula>SUM(INDIRECT(ADDRESS(ROW(),COLUMN(digikey_part_data)+0)),INDIRECT(ADDRESS(ROW(),COLUMN(mouser_part_data)+0)))</formula>
    </cfRule>
    <cfRule type="cellIs" dxfId="3" priority="18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53">
    <cfRule type="expression" dxfId="0" priority="185">
      <formula>AND(ISBLANK(E53),ISBLANK(INDIRECT(ADDRESS(ROW(),COLUMN(digikey_part_data)+4))),ISBLANK(INDIRECT(ADDRESS(ROW(),COLUMN(mouser_part_data)+4))))</formula>
    </cfRule>
    <cfRule type="expression" dxfId="1" priority="186">
      <formula>IF(SUM(INDIRECT(ADDRESS(ROW(),COLUMN(digikey_part_data)+0)),INDIRECT(ADDRESS(ROW(),COLUMN(mouser_part_data)+0)))=0,1,0)</formula>
    </cfRule>
    <cfRule type="cellIs" dxfId="2" priority="187" operator="greaterThan">
      <formula>SUM(INDIRECT(ADDRESS(ROW(),COLUMN(digikey_part_data)+0)),INDIRECT(ADDRESS(ROW(),COLUMN(mouser_part_data)+0)))</formula>
    </cfRule>
    <cfRule type="cellIs" dxfId="3" priority="18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7">
    <cfRule type="expression" dxfId="0" priority="1">
      <formula>AND(ISBLANK(E7),ISBLANK(INDIRECT(ADDRESS(ROW(),COLUMN(digikey_part_data)+4))),ISBLANK(INDIRECT(ADDRESS(ROW(),COLUMN(mouser_part_data)+4))))</formula>
    </cfRule>
    <cfRule type="expression" dxfId="1" priority="2">
      <formula>IF(SUM(INDIRECT(ADDRESS(ROW(),COLUMN(digikey_part_data)+0)),INDIRECT(ADDRESS(ROW(),COLUMN(mouser_part_data)+0)))=0,1,0)</formula>
    </cfRule>
    <cfRule type="cellIs" dxfId="2" priority="3" operator="greaterThan">
      <formula>SUM(INDIRECT(ADDRESS(ROW(),COLUMN(digikey_part_data)+0)),INDIRECT(ADDRESS(ROW(),COLUMN(mouser_part_data)+0)))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8">
    <cfRule type="expression" dxfId="0" priority="5">
      <formula>AND(ISBLANK(E8),ISBLANK(INDIRECT(ADDRESS(ROW(),COLUMN(digikey_part_data)+4))),ISBLANK(INDIRECT(ADDRESS(ROW(),COLUMN(mouser_part_data)+4))))</formula>
    </cfRule>
    <cfRule type="expression" dxfId="1" priority="6">
      <formula>IF(SUM(INDIRECT(ADDRESS(ROW(),COLUMN(digikey_part_data)+0)),INDIRECT(ADDRESS(ROW(),COLUMN(mouser_part_data)+0)))=0,1,0)</formula>
    </cfRule>
    <cfRule type="cellIs" dxfId="2" priority="7" operator="greaterThan">
      <formula>SUM(INDIRECT(ADDRESS(ROW(),COLUMN(digikey_part_data)+0)),INDIRECT(ADDRESS(ROW(),COLUMN(mouser_part_data)+0)))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F9">
    <cfRule type="expression" dxfId="0" priority="9">
      <formula>AND(ISBLANK(E9),ISBLANK(INDIRECT(ADDRESS(ROW(),COLUMN(digikey_part_data)+4))),ISBLANK(INDIRECT(ADDRESS(ROW(),COLUMN(mouser_part_data)+4))))</formula>
    </cfRule>
    <cfRule type="expression" dxfId="1" priority="10">
      <formula>IF(SUM(INDIRECT(ADDRESS(ROW(),COLUMN(digikey_part_data)+0)),INDIRECT(ADDRESS(ROW(),COLUMN(mouser_part_data)+0)))=0,1,0)</formula>
    </cfRule>
    <cfRule type="cellIs" dxfId="2" priority="11" operator="greaterThan">
      <formula>SUM(INDIRECT(ADDRESS(ROW(),COLUMN(digikey_part_data)+0)),INDIRECT(ADDRESS(ROW(),COLUMN(mouser_part_data)+0)))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I10">
    <cfRule type="cellIs" dxfId="1" priority="204" operator="equal">
      <formula>0</formula>
    </cfRule>
    <cfRule type="cellIs" dxfId="2" priority="205" operator="lessThan">
      <formula>F10</formula>
    </cfRule>
  </conditionalFormatting>
  <conditionalFormatting sqref="I11">
    <cfRule type="cellIs" dxfId="1" priority="209" operator="equal">
      <formula>0</formula>
    </cfRule>
    <cfRule type="cellIs" dxfId="2" priority="210" operator="lessThan">
      <formula>F11</formula>
    </cfRule>
  </conditionalFormatting>
  <conditionalFormatting sqref="I12">
    <cfRule type="cellIs" dxfId="1" priority="214" operator="equal">
      <formula>0</formula>
    </cfRule>
    <cfRule type="cellIs" dxfId="2" priority="215" operator="lessThan">
      <formula>F12</formula>
    </cfRule>
  </conditionalFormatting>
  <conditionalFormatting sqref="I13">
    <cfRule type="cellIs" dxfId="1" priority="219" operator="equal">
      <formula>0</formula>
    </cfRule>
    <cfRule type="cellIs" dxfId="2" priority="220" operator="lessThan">
      <formula>F13</formula>
    </cfRule>
  </conditionalFormatting>
  <conditionalFormatting sqref="I14">
    <cfRule type="cellIs" dxfId="1" priority="224" operator="equal">
      <formula>0</formula>
    </cfRule>
    <cfRule type="cellIs" dxfId="2" priority="225" operator="lessThan">
      <formula>F14</formula>
    </cfRule>
  </conditionalFormatting>
  <conditionalFormatting sqref="I15">
    <cfRule type="cellIs" dxfId="1" priority="229" operator="equal">
      <formula>0</formula>
    </cfRule>
    <cfRule type="cellIs" dxfId="2" priority="230" operator="lessThan">
      <formula>F15</formula>
    </cfRule>
  </conditionalFormatting>
  <conditionalFormatting sqref="I16">
    <cfRule type="cellIs" dxfId="1" priority="234" operator="equal">
      <formula>0</formula>
    </cfRule>
    <cfRule type="cellIs" dxfId="2" priority="235" operator="lessThan">
      <formula>F16</formula>
    </cfRule>
  </conditionalFormatting>
  <conditionalFormatting sqref="I19">
    <cfRule type="cellIs" dxfId="1" priority="239" operator="equal">
      <formula>0</formula>
    </cfRule>
    <cfRule type="cellIs" dxfId="2" priority="240" operator="lessThan">
      <formula>F19</formula>
    </cfRule>
  </conditionalFormatting>
  <conditionalFormatting sqref="I20">
    <cfRule type="cellIs" dxfId="1" priority="244" operator="equal">
      <formula>0</formula>
    </cfRule>
    <cfRule type="cellIs" dxfId="2" priority="245" operator="lessThan">
      <formula>F20</formula>
    </cfRule>
  </conditionalFormatting>
  <conditionalFormatting sqref="I31">
    <cfRule type="cellIs" dxfId="1" priority="249" operator="equal">
      <formula>0</formula>
    </cfRule>
    <cfRule type="cellIs" dxfId="2" priority="250" operator="lessThan">
      <formula>F31</formula>
    </cfRule>
  </conditionalFormatting>
  <conditionalFormatting sqref="I34">
    <cfRule type="cellIs" dxfId="1" priority="254" operator="equal">
      <formula>0</formula>
    </cfRule>
    <cfRule type="cellIs" dxfId="2" priority="255" operator="lessThan">
      <formula>F34</formula>
    </cfRule>
  </conditionalFormatting>
  <conditionalFormatting sqref="I37">
    <cfRule type="cellIs" dxfId="1" priority="259" operator="equal">
      <formula>0</formula>
    </cfRule>
    <cfRule type="cellIs" dxfId="2" priority="260" operator="lessThan">
      <formula>F37</formula>
    </cfRule>
  </conditionalFormatting>
  <conditionalFormatting sqref="I47">
    <cfRule type="cellIs" dxfId="1" priority="264" operator="equal">
      <formula>0</formula>
    </cfRule>
    <cfRule type="cellIs" dxfId="2" priority="265" operator="lessThan">
      <formula>F47</formula>
    </cfRule>
  </conditionalFormatting>
  <conditionalFormatting sqref="I48">
    <cfRule type="cellIs" dxfId="1" priority="269" operator="equal">
      <formula>0</formula>
    </cfRule>
    <cfRule type="cellIs" dxfId="2" priority="270" operator="lessThan">
      <formula>F48</formula>
    </cfRule>
  </conditionalFormatting>
  <conditionalFormatting sqref="I49">
    <cfRule type="cellIs" dxfId="1" priority="274" operator="equal">
      <formula>0</formula>
    </cfRule>
    <cfRule type="cellIs" dxfId="2" priority="275" operator="lessThan">
      <formula>F49</formula>
    </cfRule>
  </conditionalFormatting>
  <conditionalFormatting sqref="I50">
    <cfRule type="cellIs" dxfId="1" priority="279" operator="equal">
      <formula>0</formula>
    </cfRule>
    <cfRule type="cellIs" dxfId="2" priority="280" operator="lessThan">
      <formula>F50</formula>
    </cfRule>
  </conditionalFormatting>
  <conditionalFormatting sqref="I51">
    <cfRule type="cellIs" dxfId="1" priority="284" operator="equal">
      <formula>0</formula>
    </cfRule>
    <cfRule type="cellIs" dxfId="2" priority="285" operator="lessThan">
      <formula>F51</formula>
    </cfRule>
  </conditionalFormatting>
  <conditionalFormatting sqref="I7">
    <cfRule type="cellIs" dxfId="1" priority="189" operator="equal">
      <formula>0</formula>
    </cfRule>
    <cfRule type="cellIs" dxfId="2" priority="190" operator="lessThan">
      <formula>F7</formula>
    </cfRule>
  </conditionalFormatting>
  <conditionalFormatting sqref="I8">
    <cfRule type="cellIs" dxfId="1" priority="194" operator="equal">
      <formula>0</formula>
    </cfRule>
    <cfRule type="cellIs" dxfId="2" priority="195" operator="lessThan">
      <formula>F8</formula>
    </cfRule>
  </conditionalFormatting>
  <conditionalFormatting sqref="I9">
    <cfRule type="cellIs" dxfId="1" priority="199" operator="equal">
      <formula>0</formula>
    </cfRule>
    <cfRule type="cellIs" dxfId="2" priority="200" operator="lessThan">
      <formula>F9</formula>
    </cfRule>
  </conditionalFormatting>
  <conditionalFormatting sqref="J10">
    <cfRule type="cellIs" dxfId="1" priority="206" operator="greaterThan">
      <formula>I10</formula>
    </cfRule>
  </conditionalFormatting>
  <conditionalFormatting sqref="J11">
    <cfRule type="cellIs" dxfId="1" priority="211" operator="greaterThan">
      <formula>I11</formula>
    </cfRule>
  </conditionalFormatting>
  <conditionalFormatting sqref="J12">
    <cfRule type="cellIs" dxfId="1" priority="216" operator="greaterThan">
      <formula>I12</formula>
    </cfRule>
  </conditionalFormatting>
  <conditionalFormatting sqref="J13">
    <cfRule type="cellIs" dxfId="1" priority="221" operator="greaterThan">
      <formula>I13</formula>
    </cfRule>
  </conditionalFormatting>
  <conditionalFormatting sqref="J14">
    <cfRule type="cellIs" dxfId="1" priority="226" operator="greaterThan">
      <formula>I14</formula>
    </cfRule>
  </conditionalFormatting>
  <conditionalFormatting sqref="J15">
    <cfRule type="cellIs" dxfId="1" priority="231" operator="greaterThan">
      <formula>I15</formula>
    </cfRule>
  </conditionalFormatting>
  <conditionalFormatting sqref="J16">
    <cfRule type="cellIs" dxfId="1" priority="236" operator="greaterThan">
      <formula>I16</formula>
    </cfRule>
  </conditionalFormatting>
  <conditionalFormatting sqref="J19">
    <cfRule type="cellIs" dxfId="1" priority="241" operator="greaterThan">
      <formula>I19</formula>
    </cfRule>
  </conditionalFormatting>
  <conditionalFormatting sqref="J20">
    <cfRule type="cellIs" dxfId="1" priority="246" operator="greaterThan">
      <formula>I20</formula>
    </cfRule>
  </conditionalFormatting>
  <conditionalFormatting sqref="J31">
    <cfRule type="cellIs" dxfId="1" priority="251" operator="greaterThan">
      <formula>I31</formula>
    </cfRule>
  </conditionalFormatting>
  <conditionalFormatting sqref="J34">
    <cfRule type="cellIs" dxfId="1" priority="256" operator="greaterThan">
      <formula>I34</formula>
    </cfRule>
  </conditionalFormatting>
  <conditionalFormatting sqref="J37">
    <cfRule type="cellIs" dxfId="1" priority="261" operator="greaterThan">
      <formula>I37</formula>
    </cfRule>
  </conditionalFormatting>
  <conditionalFormatting sqref="J47">
    <cfRule type="cellIs" dxfId="1" priority="266" operator="greaterThan">
      <formula>I47</formula>
    </cfRule>
  </conditionalFormatting>
  <conditionalFormatting sqref="J48">
    <cfRule type="cellIs" dxfId="1" priority="271" operator="greaterThan">
      <formula>I48</formula>
    </cfRule>
  </conditionalFormatting>
  <conditionalFormatting sqref="J49">
    <cfRule type="cellIs" dxfId="1" priority="276" operator="greaterThan">
      <formula>I49</formula>
    </cfRule>
  </conditionalFormatting>
  <conditionalFormatting sqref="J50">
    <cfRule type="cellIs" dxfId="1" priority="281" operator="greaterThan">
      <formula>I50</formula>
    </cfRule>
  </conditionalFormatting>
  <conditionalFormatting sqref="J51">
    <cfRule type="cellIs" dxfId="1" priority="286" operator="greaterThan">
      <formula>I51</formula>
    </cfRule>
  </conditionalFormatting>
  <conditionalFormatting sqref="J7">
    <cfRule type="cellIs" dxfId="1" priority="191" operator="greaterThan">
      <formula>I7</formula>
    </cfRule>
  </conditionalFormatting>
  <conditionalFormatting sqref="J8">
    <cfRule type="cellIs" dxfId="1" priority="196" operator="greaterThan">
      <formula>I8</formula>
    </cfRule>
  </conditionalFormatting>
  <conditionalFormatting sqref="J9">
    <cfRule type="cellIs" dxfId="1" priority="201" operator="greaterThan">
      <formula>I9</formula>
    </cfRule>
  </conditionalFormatting>
  <conditionalFormatting sqref="K10">
    <cfRule type="cellIs" dxfId="4" priority="208" operator="lessThanOrEqual">
      <formula>G10</formula>
    </cfRule>
  </conditionalFormatting>
  <conditionalFormatting sqref="K11">
    <cfRule type="cellIs" dxfId="4" priority="213" operator="lessThanOrEqual">
      <formula>G11</formula>
    </cfRule>
  </conditionalFormatting>
  <conditionalFormatting sqref="K12">
    <cfRule type="cellIs" dxfId="4" priority="218" operator="lessThanOrEqual">
      <formula>G12</formula>
    </cfRule>
  </conditionalFormatting>
  <conditionalFormatting sqref="K13">
    <cfRule type="cellIs" dxfId="4" priority="223" operator="lessThanOrEqual">
      <formula>G13</formula>
    </cfRule>
  </conditionalFormatting>
  <conditionalFormatting sqref="K14">
    <cfRule type="cellIs" dxfId="4" priority="228" operator="lessThanOrEqual">
      <formula>G14</formula>
    </cfRule>
  </conditionalFormatting>
  <conditionalFormatting sqref="K15">
    <cfRule type="cellIs" dxfId="4" priority="233" operator="lessThanOrEqual">
      <formula>G15</formula>
    </cfRule>
  </conditionalFormatting>
  <conditionalFormatting sqref="K16">
    <cfRule type="cellIs" dxfId="4" priority="238" operator="lessThanOrEqual">
      <formula>G16</formula>
    </cfRule>
  </conditionalFormatting>
  <conditionalFormatting sqref="K19">
    <cfRule type="cellIs" dxfId="4" priority="243" operator="lessThanOrEqual">
      <formula>G19</formula>
    </cfRule>
  </conditionalFormatting>
  <conditionalFormatting sqref="K20">
    <cfRule type="cellIs" dxfId="4" priority="248" operator="lessThanOrEqual">
      <formula>G20</formula>
    </cfRule>
  </conditionalFormatting>
  <conditionalFormatting sqref="K31">
    <cfRule type="cellIs" dxfId="4" priority="253" operator="lessThanOrEqual">
      <formula>G31</formula>
    </cfRule>
  </conditionalFormatting>
  <conditionalFormatting sqref="K34">
    <cfRule type="cellIs" dxfId="4" priority="258" operator="lessThanOrEqual">
      <formula>G34</formula>
    </cfRule>
  </conditionalFormatting>
  <conditionalFormatting sqref="K37">
    <cfRule type="cellIs" dxfId="4" priority="263" operator="lessThanOrEqual">
      <formula>G37</formula>
    </cfRule>
  </conditionalFormatting>
  <conditionalFormatting sqref="K47">
    <cfRule type="cellIs" dxfId="4" priority="268" operator="lessThanOrEqual">
      <formula>G47</formula>
    </cfRule>
  </conditionalFormatting>
  <conditionalFormatting sqref="K48">
    <cfRule type="cellIs" dxfId="4" priority="273" operator="lessThanOrEqual">
      <formula>G48</formula>
    </cfRule>
  </conditionalFormatting>
  <conditionalFormatting sqref="K49">
    <cfRule type="cellIs" dxfId="4" priority="278" operator="lessThanOrEqual">
      <formula>G49</formula>
    </cfRule>
  </conditionalFormatting>
  <conditionalFormatting sqref="K50">
    <cfRule type="cellIs" dxfId="4" priority="283" operator="lessThanOrEqual">
      <formula>G50</formula>
    </cfRule>
  </conditionalFormatting>
  <conditionalFormatting sqref="K51">
    <cfRule type="cellIs" dxfId="4" priority="288" operator="lessThanOrEqual">
      <formula>G51</formula>
    </cfRule>
  </conditionalFormatting>
  <conditionalFormatting sqref="K7">
    <cfRule type="cellIs" dxfId="4" priority="193" operator="lessThanOrEqual">
      <formula>G7</formula>
    </cfRule>
  </conditionalFormatting>
  <conditionalFormatting sqref="K8">
    <cfRule type="cellIs" dxfId="4" priority="198" operator="lessThanOrEqual">
      <formula>G8</formula>
    </cfRule>
  </conditionalFormatting>
  <conditionalFormatting sqref="K9">
    <cfRule type="cellIs" dxfId="4" priority="203" operator="lessThanOrEqual">
      <formula>G9</formula>
    </cfRule>
  </conditionalFormatting>
  <conditionalFormatting sqref="L10">
    <cfRule type="cellIs" dxfId="4" priority="207" operator="lessThanOrEqual">
      <formula>H10</formula>
    </cfRule>
  </conditionalFormatting>
  <conditionalFormatting sqref="L11">
    <cfRule type="cellIs" dxfId="4" priority="212" operator="lessThanOrEqual">
      <formula>H11</formula>
    </cfRule>
  </conditionalFormatting>
  <conditionalFormatting sqref="L12">
    <cfRule type="cellIs" dxfId="4" priority="217" operator="lessThanOrEqual">
      <formula>H12</formula>
    </cfRule>
  </conditionalFormatting>
  <conditionalFormatting sqref="L13">
    <cfRule type="cellIs" dxfId="4" priority="222" operator="lessThanOrEqual">
      <formula>H13</formula>
    </cfRule>
  </conditionalFormatting>
  <conditionalFormatting sqref="L14">
    <cfRule type="cellIs" dxfId="4" priority="227" operator="lessThanOrEqual">
      <formula>H14</formula>
    </cfRule>
  </conditionalFormatting>
  <conditionalFormatting sqref="L15">
    <cfRule type="cellIs" dxfId="4" priority="232" operator="lessThanOrEqual">
      <formula>H15</formula>
    </cfRule>
  </conditionalFormatting>
  <conditionalFormatting sqref="L16">
    <cfRule type="cellIs" dxfId="4" priority="237" operator="lessThanOrEqual">
      <formula>H16</formula>
    </cfRule>
  </conditionalFormatting>
  <conditionalFormatting sqref="L19">
    <cfRule type="cellIs" dxfId="4" priority="242" operator="lessThanOrEqual">
      <formula>H19</formula>
    </cfRule>
  </conditionalFormatting>
  <conditionalFormatting sqref="L20">
    <cfRule type="cellIs" dxfId="4" priority="247" operator="lessThanOrEqual">
      <formula>H20</formula>
    </cfRule>
  </conditionalFormatting>
  <conditionalFormatting sqref="L31">
    <cfRule type="cellIs" dxfId="4" priority="252" operator="lessThanOrEqual">
      <formula>H31</formula>
    </cfRule>
  </conditionalFormatting>
  <conditionalFormatting sqref="L34">
    <cfRule type="cellIs" dxfId="4" priority="257" operator="lessThanOrEqual">
      <formula>H34</formula>
    </cfRule>
  </conditionalFormatting>
  <conditionalFormatting sqref="L37">
    <cfRule type="cellIs" dxfId="4" priority="262" operator="lessThanOrEqual">
      <formula>H37</formula>
    </cfRule>
  </conditionalFormatting>
  <conditionalFormatting sqref="L47">
    <cfRule type="cellIs" dxfId="4" priority="267" operator="lessThanOrEqual">
      <formula>H47</formula>
    </cfRule>
  </conditionalFormatting>
  <conditionalFormatting sqref="L48">
    <cfRule type="cellIs" dxfId="4" priority="272" operator="lessThanOrEqual">
      <formula>H48</formula>
    </cfRule>
  </conditionalFormatting>
  <conditionalFormatting sqref="L49">
    <cfRule type="cellIs" dxfId="4" priority="277" operator="lessThanOrEqual">
      <formula>H49</formula>
    </cfRule>
  </conditionalFormatting>
  <conditionalFormatting sqref="L50">
    <cfRule type="cellIs" dxfId="4" priority="282" operator="lessThanOrEqual">
      <formula>H50</formula>
    </cfRule>
  </conditionalFormatting>
  <conditionalFormatting sqref="L51">
    <cfRule type="cellIs" dxfId="4" priority="287" operator="lessThanOrEqual">
      <formula>H51</formula>
    </cfRule>
  </conditionalFormatting>
  <conditionalFormatting sqref="L7">
    <cfRule type="cellIs" dxfId="4" priority="192" operator="lessThanOrEqual">
      <formula>H7</formula>
    </cfRule>
  </conditionalFormatting>
  <conditionalFormatting sqref="L8">
    <cfRule type="cellIs" dxfId="4" priority="197" operator="lessThanOrEqual">
      <formula>H8</formula>
    </cfRule>
  </conditionalFormatting>
  <conditionalFormatting sqref="L9">
    <cfRule type="cellIs" dxfId="4" priority="202" operator="lessThanOrEqual">
      <formula>H9</formula>
    </cfRule>
  </conditionalFormatting>
  <conditionalFormatting sqref="N10">
    <cfRule type="cellIs" dxfId="1" priority="304" operator="equal">
      <formula>0</formula>
    </cfRule>
    <cfRule type="cellIs" dxfId="2" priority="305" operator="lessThan">
      <formula>F10</formula>
    </cfRule>
  </conditionalFormatting>
  <conditionalFormatting sqref="N11">
    <cfRule type="cellIs" dxfId="1" priority="309" operator="equal">
      <formula>0</formula>
    </cfRule>
    <cfRule type="cellIs" dxfId="2" priority="310" operator="lessThan">
      <formula>F11</formula>
    </cfRule>
  </conditionalFormatting>
  <conditionalFormatting sqref="N12">
    <cfRule type="cellIs" dxfId="1" priority="314" operator="equal">
      <formula>0</formula>
    </cfRule>
    <cfRule type="cellIs" dxfId="2" priority="315" operator="lessThan">
      <formula>F12</formula>
    </cfRule>
  </conditionalFormatting>
  <conditionalFormatting sqref="N13">
    <cfRule type="cellIs" dxfId="1" priority="319" operator="equal">
      <formula>0</formula>
    </cfRule>
    <cfRule type="cellIs" dxfId="2" priority="320" operator="lessThan">
      <formula>F13</formula>
    </cfRule>
  </conditionalFormatting>
  <conditionalFormatting sqref="N15">
    <cfRule type="cellIs" dxfId="1" priority="324" operator="equal">
      <formula>0</formula>
    </cfRule>
    <cfRule type="cellIs" dxfId="2" priority="325" operator="lessThan">
      <formula>F15</formula>
    </cfRule>
  </conditionalFormatting>
  <conditionalFormatting sqref="N16">
    <cfRule type="cellIs" dxfId="1" priority="329" operator="equal">
      <formula>0</formula>
    </cfRule>
    <cfRule type="cellIs" dxfId="2" priority="330" operator="lessThan">
      <formula>F16</formula>
    </cfRule>
  </conditionalFormatting>
  <conditionalFormatting sqref="N19">
    <cfRule type="cellIs" dxfId="1" priority="334" operator="equal">
      <formula>0</formula>
    </cfRule>
    <cfRule type="cellIs" dxfId="2" priority="335" operator="lessThan">
      <formula>F19</formula>
    </cfRule>
  </conditionalFormatting>
  <conditionalFormatting sqref="N20">
    <cfRule type="cellIs" dxfId="1" priority="339" operator="equal">
      <formula>0</formula>
    </cfRule>
    <cfRule type="cellIs" dxfId="2" priority="340" operator="lessThan">
      <formula>F20</formula>
    </cfRule>
  </conditionalFormatting>
  <conditionalFormatting sqref="N34">
    <cfRule type="cellIs" dxfId="1" priority="344" operator="equal">
      <formula>0</formula>
    </cfRule>
    <cfRule type="cellIs" dxfId="2" priority="345" operator="lessThan">
      <formula>F34</formula>
    </cfRule>
  </conditionalFormatting>
  <conditionalFormatting sqref="N47">
    <cfRule type="cellIs" dxfId="1" priority="349" operator="equal">
      <formula>0</formula>
    </cfRule>
    <cfRule type="cellIs" dxfId="2" priority="350" operator="lessThan">
      <formula>F47</formula>
    </cfRule>
  </conditionalFormatting>
  <conditionalFormatting sqref="N48">
    <cfRule type="cellIs" dxfId="1" priority="354" operator="equal">
      <formula>0</formula>
    </cfRule>
    <cfRule type="cellIs" dxfId="2" priority="355" operator="lessThan">
      <formula>F48</formula>
    </cfRule>
  </conditionalFormatting>
  <conditionalFormatting sqref="N49">
    <cfRule type="cellIs" dxfId="1" priority="359" operator="equal">
      <formula>0</formula>
    </cfRule>
    <cfRule type="cellIs" dxfId="2" priority="360" operator="lessThan">
      <formula>F49</formula>
    </cfRule>
  </conditionalFormatting>
  <conditionalFormatting sqref="N50">
    <cfRule type="cellIs" dxfId="1" priority="364" operator="equal">
      <formula>0</formula>
    </cfRule>
    <cfRule type="cellIs" dxfId="2" priority="365" operator="lessThan">
      <formula>F50</formula>
    </cfRule>
  </conditionalFormatting>
  <conditionalFormatting sqref="N51">
    <cfRule type="cellIs" dxfId="1" priority="369" operator="equal">
      <formula>0</formula>
    </cfRule>
    <cfRule type="cellIs" dxfId="2" priority="370" operator="lessThan">
      <formula>F51</formula>
    </cfRule>
  </conditionalFormatting>
  <conditionalFormatting sqref="N7">
    <cfRule type="cellIs" dxfId="1" priority="289" operator="equal">
      <formula>0</formula>
    </cfRule>
    <cfRule type="cellIs" dxfId="2" priority="290" operator="lessThan">
      <formula>F7</formula>
    </cfRule>
  </conditionalFormatting>
  <conditionalFormatting sqref="N8">
    <cfRule type="cellIs" dxfId="1" priority="294" operator="equal">
      <formula>0</formula>
    </cfRule>
    <cfRule type="cellIs" dxfId="2" priority="295" operator="lessThan">
      <formula>F8</formula>
    </cfRule>
  </conditionalFormatting>
  <conditionalFormatting sqref="N9">
    <cfRule type="cellIs" dxfId="1" priority="299" operator="equal">
      <formula>0</formula>
    </cfRule>
    <cfRule type="cellIs" dxfId="2" priority="300" operator="lessThan">
      <formula>F9</formula>
    </cfRule>
  </conditionalFormatting>
  <conditionalFormatting sqref="O10">
    <cfRule type="cellIs" dxfId="1" priority="306" operator="greaterThan">
      <formula>N10</formula>
    </cfRule>
  </conditionalFormatting>
  <conditionalFormatting sqref="O11">
    <cfRule type="cellIs" dxfId="1" priority="311" operator="greaterThan">
      <formula>N11</formula>
    </cfRule>
  </conditionalFormatting>
  <conditionalFormatting sqref="O12">
    <cfRule type="cellIs" dxfId="1" priority="316" operator="greaterThan">
      <formula>N12</formula>
    </cfRule>
  </conditionalFormatting>
  <conditionalFormatting sqref="O13">
    <cfRule type="cellIs" dxfId="1" priority="321" operator="greaterThan">
      <formula>N13</formula>
    </cfRule>
  </conditionalFormatting>
  <conditionalFormatting sqref="O15">
    <cfRule type="cellIs" dxfId="1" priority="326" operator="greaterThan">
      <formula>N15</formula>
    </cfRule>
  </conditionalFormatting>
  <conditionalFormatting sqref="O16">
    <cfRule type="cellIs" dxfId="1" priority="331" operator="greaterThan">
      <formula>N16</formula>
    </cfRule>
  </conditionalFormatting>
  <conditionalFormatting sqref="O19">
    <cfRule type="cellIs" dxfId="1" priority="336" operator="greaterThan">
      <formula>N19</formula>
    </cfRule>
  </conditionalFormatting>
  <conditionalFormatting sqref="O20">
    <cfRule type="cellIs" dxfId="1" priority="341" operator="greaterThan">
      <formula>N20</formula>
    </cfRule>
  </conditionalFormatting>
  <conditionalFormatting sqref="O34">
    <cfRule type="cellIs" dxfId="1" priority="346" operator="greaterThan">
      <formula>N34</formula>
    </cfRule>
  </conditionalFormatting>
  <conditionalFormatting sqref="O47">
    <cfRule type="cellIs" dxfId="1" priority="351" operator="greaterThan">
      <formula>N47</formula>
    </cfRule>
  </conditionalFormatting>
  <conditionalFormatting sqref="O48">
    <cfRule type="cellIs" dxfId="1" priority="356" operator="greaterThan">
      <formula>N48</formula>
    </cfRule>
  </conditionalFormatting>
  <conditionalFormatting sqref="O49">
    <cfRule type="cellIs" dxfId="1" priority="361" operator="greaterThan">
      <formula>N49</formula>
    </cfRule>
  </conditionalFormatting>
  <conditionalFormatting sqref="O50">
    <cfRule type="cellIs" dxfId="1" priority="366" operator="greaterThan">
      <formula>N50</formula>
    </cfRule>
  </conditionalFormatting>
  <conditionalFormatting sqref="O51">
    <cfRule type="cellIs" dxfId="1" priority="371" operator="greaterThan">
      <formula>N51</formula>
    </cfRule>
  </conditionalFormatting>
  <conditionalFormatting sqref="O7">
    <cfRule type="cellIs" dxfId="1" priority="291" operator="greaterThan">
      <formula>N7</formula>
    </cfRule>
  </conditionalFormatting>
  <conditionalFormatting sqref="O8">
    <cfRule type="cellIs" dxfId="1" priority="296" operator="greaterThan">
      <formula>N8</formula>
    </cfRule>
  </conditionalFormatting>
  <conditionalFormatting sqref="O9">
    <cfRule type="cellIs" dxfId="1" priority="301" operator="greaterThan">
      <formula>N9</formula>
    </cfRule>
  </conditionalFormatting>
  <conditionalFormatting sqref="P10">
    <cfRule type="cellIs" dxfId="4" priority="308" operator="lessThanOrEqual">
      <formula>G10</formula>
    </cfRule>
  </conditionalFormatting>
  <conditionalFormatting sqref="P11">
    <cfRule type="cellIs" dxfId="4" priority="313" operator="lessThanOrEqual">
      <formula>G11</formula>
    </cfRule>
  </conditionalFormatting>
  <conditionalFormatting sqref="P12">
    <cfRule type="cellIs" dxfId="4" priority="318" operator="lessThanOrEqual">
      <formula>G12</formula>
    </cfRule>
  </conditionalFormatting>
  <conditionalFormatting sqref="P13">
    <cfRule type="cellIs" dxfId="4" priority="323" operator="lessThanOrEqual">
      <formula>G13</formula>
    </cfRule>
  </conditionalFormatting>
  <conditionalFormatting sqref="P15">
    <cfRule type="cellIs" dxfId="4" priority="328" operator="lessThanOrEqual">
      <formula>G15</formula>
    </cfRule>
  </conditionalFormatting>
  <conditionalFormatting sqref="P16">
    <cfRule type="cellIs" dxfId="4" priority="333" operator="lessThanOrEqual">
      <formula>G16</formula>
    </cfRule>
  </conditionalFormatting>
  <conditionalFormatting sqref="P19">
    <cfRule type="cellIs" dxfId="4" priority="338" operator="lessThanOrEqual">
      <formula>G19</formula>
    </cfRule>
  </conditionalFormatting>
  <conditionalFormatting sqref="P20">
    <cfRule type="cellIs" dxfId="4" priority="343" operator="lessThanOrEqual">
      <formula>G20</formula>
    </cfRule>
  </conditionalFormatting>
  <conditionalFormatting sqref="P34">
    <cfRule type="cellIs" dxfId="4" priority="348" operator="lessThanOrEqual">
      <formula>G34</formula>
    </cfRule>
  </conditionalFormatting>
  <conditionalFormatting sqref="P47">
    <cfRule type="cellIs" dxfId="4" priority="353" operator="lessThanOrEqual">
      <formula>G47</formula>
    </cfRule>
  </conditionalFormatting>
  <conditionalFormatting sqref="P48">
    <cfRule type="cellIs" dxfId="4" priority="358" operator="lessThanOrEqual">
      <formula>G48</formula>
    </cfRule>
  </conditionalFormatting>
  <conditionalFormatting sqref="P49">
    <cfRule type="cellIs" dxfId="4" priority="363" operator="lessThanOrEqual">
      <formula>G49</formula>
    </cfRule>
  </conditionalFormatting>
  <conditionalFormatting sqref="P50">
    <cfRule type="cellIs" dxfId="4" priority="368" operator="lessThanOrEqual">
      <formula>G50</formula>
    </cfRule>
  </conditionalFormatting>
  <conditionalFormatting sqref="P51">
    <cfRule type="cellIs" dxfId="4" priority="373" operator="lessThanOrEqual">
      <formula>G51</formula>
    </cfRule>
  </conditionalFormatting>
  <conditionalFormatting sqref="P7">
    <cfRule type="cellIs" dxfId="4" priority="293" operator="lessThanOrEqual">
      <formula>G7</formula>
    </cfRule>
  </conditionalFormatting>
  <conditionalFormatting sqref="P8">
    <cfRule type="cellIs" dxfId="4" priority="298" operator="lessThanOrEqual">
      <formula>G8</formula>
    </cfRule>
  </conditionalFormatting>
  <conditionalFormatting sqref="P9">
    <cfRule type="cellIs" dxfId="4" priority="303" operator="lessThanOrEqual">
      <formula>G9</formula>
    </cfRule>
  </conditionalFormatting>
  <conditionalFormatting sqref="Q10">
    <cfRule type="cellIs" dxfId="4" priority="307" operator="lessThanOrEqual">
      <formula>H10</formula>
    </cfRule>
  </conditionalFormatting>
  <conditionalFormatting sqref="Q11">
    <cfRule type="cellIs" dxfId="4" priority="312" operator="lessThanOrEqual">
      <formula>H11</formula>
    </cfRule>
  </conditionalFormatting>
  <conditionalFormatting sqref="Q12">
    <cfRule type="cellIs" dxfId="4" priority="317" operator="lessThanOrEqual">
      <formula>H12</formula>
    </cfRule>
  </conditionalFormatting>
  <conditionalFormatting sqref="Q13">
    <cfRule type="cellIs" dxfId="4" priority="322" operator="lessThanOrEqual">
      <formula>H13</formula>
    </cfRule>
  </conditionalFormatting>
  <conditionalFormatting sqref="Q15">
    <cfRule type="cellIs" dxfId="4" priority="327" operator="lessThanOrEqual">
      <formula>H15</formula>
    </cfRule>
  </conditionalFormatting>
  <conditionalFormatting sqref="Q16">
    <cfRule type="cellIs" dxfId="4" priority="332" operator="lessThanOrEqual">
      <formula>H16</formula>
    </cfRule>
  </conditionalFormatting>
  <conditionalFormatting sqref="Q19">
    <cfRule type="cellIs" dxfId="4" priority="337" operator="lessThanOrEqual">
      <formula>H19</formula>
    </cfRule>
  </conditionalFormatting>
  <conditionalFormatting sqref="Q20">
    <cfRule type="cellIs" dxfId="4" priority="342" operator="lessThanOrEqual">
      <formula>H20</formula>
    </cfRule>
  </conditionalFormatting>
  <conditionalFormatting sqref="Q34">
    <cfRule type="cellIs" dxfId="4" priority="347" operator="lessThanOrEqual">
      <formula>H34</formula>
    </cfRule>
  </conditionalFormatting>
  <conditionalFormatting sqref="Q47">
    <cfRule type="cellIs" dxfId="4" priority="352" operator="lessThanOrEqual">
      <formula>H47</formula>
    </cfRule>
  </conditionalFormatting>
  <conditionalFormatting sqref="Q48">
    <cfRule type="cellIs" dxfId="4" priority="357" operator="lessThanOrEqual">
      <formula>H48</formula>
    </cfRule>
  </conditionalFormatting>
  <conditionalFormatting sqref="Q49">
    <cfRule type="cellIs" dxfId="4" priority="362" operator="lessThanOrEqual">
      <formula>H49</formula>
    </cfRule>
  </conditionalFormatting>
  <conditionalFormatting sqref="Q50">
    <cfRule type="cellIs" dxfId="4" priority="367" operator="lessThanOrEqual">
      <formula>H50</formula>
    </cfRule>
  </conditionalFormatting>
  <conditionalFormatting sqref="Q51">
    <cfRule type="cellIs" dxfId="4" priority="372" operator="lessThanOrEqual">
      <formula>H51</formula>
    </cfRule>
  </conditionalFormatting>
  <conditionalFormatting sqref="Q7">
    <cfRule type="cellIs" dxfId="4" priority="292" operator="lessThanOrEqual">
      <formula>H7</formula>
    </cfRule>
  </conditionalFormatting>
  <conditionalFormatting sqref="Q8">
    <cfRule type="cellIs" dxfId="4" priority="297" operator="lessThanOrEqual">
      <formula>H8</formula>
    </cfRule>
  </conditionalFormatting>
  <conditionalFormatting sqref="Q9">
    <cfRule type="cellIs" dxfId="4" priority="302" operator="lessThanOrEqual">
      <formula>H9</formula>
    </cfRule>
  </conditionalFormatting>
  <hyperlinks>
    <hyperlink ref="M7" r:id="rId1"/>
    <hyperlink ref="R7" r:id="rId2"/>
    <hyperlink ref="M8" r:id="rId3"/>
    <hyperlink ref="R8" r:id="rId4"/>
    <hyperlink ref="M9" r:id="rId5"/>
    <hyperlink ref="R9" r:id="rId6"/>
    <hyperlink ref="M10" r:id="rId7"/>
    <hyperlink ref="R10" r:id="rId8"/>
    <hyperlink ref="M11" r:id="rId9"/>
    <hyperlink ref="R11" r:id="rId10"/>
    <hyperlink ref="M12" r:id="rId11"/>
    <hyperlink ref="R12" r:id="rId12"/>
    <hyperlink ref="M13" r:id="rId13"/>
    <hyperlink ref="R13" r:id="rId14"/>
    <hyperlink ref="M14" r:id="rId15"/>
    <hyperlink ref="M15" r:id="rId16"/>
    <hyperlink ref="R15" r:id="rId17"/>
    <hyperlink ref="M16" r:id="rId18"/>
    <hyperlink ref="R16" r:id="rId19"/>
    <hyperlink ref="M19" r:id="rId20"/>
    <hyperlink ref="R19" r:id="rId21"/>
    <hyperlink ref="M20" r:id="rId22"/>
    <hyperlink ref="R20" r:id="rId23"/>
    <hyperlink ref="M31" r:id="rId24"/>
    <hyperlink ref="M34" r:id="rId25"/>
    <hyperlink ref="R34" r:id="rId26"/>
    <hyperlink ref="M37" r:id="rId27"/>
    <hyperlink ref="M47" r:id="rId28"/>
    <hyperlink ref="R47" r:id="rId29"/>
    <hyperlink ref="M48" r:id="rId30"/>
    <hyperlink ref="R48" r:id="rId31"/>
    <hyperlink ref="M49" r:id="rId32"/>
    <hyperlink ref="R49" r:id="rId33"/>
    <hyperlink ref="E50" r:id="rId34"/>
    <hyperlink ref="M50" r:id="rId35"/>
    <hyperlink ref="R50" r:id="rId36"/>
    <hyperlink ref="E51" r:id="rId37"/>
    <hyperlink ref="M51" r:id="rId38"/>
    <hyperlink ref="R51" r:id="rId39"/>
    <hyperlink ref="E52" r:id="rId40"/>
  </hyperlinks>
  <pageMargins left="0.7" right="0.7" top="0.75" bottom="0.75" header="0.3" footer="0.3"/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bms. </vt:lpstr>
      <vt:lpstr>BoardQty</vt:lpstr>
      <vt:lpstr>digikey_part_data</vt:lpstr>
      <vt:lpstr>global_part_data</vt:lpstr>
      <vt:lpstr>mouser_part_data</vt:lpstr>
      <vt:lpstr>PURCHASE_DESCRIPTION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2021-05-13T04:39:05Z</dcterms:created>
  <dcterms:modified xsi:type="dcterms:W3CDTF">2021-05-13T04:39:05Z</dcterms:modified>
</cp:coreProperties>
</file>