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25" yWindow="-15" windowWidth="19170" windowHeight="11835"/>
  </bookViews>
  <sheets>
    <sheet name="GeneralSettings" sheetId="1" r:id="rId1"/>
    <sheet name="SEKON" sheetId="14" r:id="rId2"/>
    <sheet name="SEK3M" sheetId="15" r:id="rId3"/>
    <sheet name="SEK6M" sheetId="16" r:id="rId4"/>
    <sheet name="SEK1M" sheetId="17" r:id="rId5"/>
  </sheets>
  <externalReferences>
    <externalReference r:id="rId6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IncludeFlag" localSheetId="4">SEK1M!$P$3:$P$32</definedName>
    <definedName name="IncludeFlag" localSheetId="2">SEK3M!$P$3:$P$51</definedName>
    <definedName name="IncludeFlag" localSheetId="3">SEK6M!$P$3:$P$39</definedName>
    <definedName name="IncludeFlag" localSheetId="1">SEKON!$N$3:$N$59</definedName>
    <definedName name="JumpDates_1M">SEK1M!$AF$11:$AF$23</definedName>
    <definedName name="JumpDates_3M">SEK3M!$AF$11:$AF$23</definedName>
    <definedName name="JumpDates_6M">SEK6M!$AF$11:$AF$23</definedName>
    <definedName name="JumpDates_ON">SEKON!$AD$11:$AD$23</definedName>
    <definedName name="JumpQuotes_1M">SEK1M!$AL$11:$AL$23</definedName>
    <definedName name="JumpQuotes_3M">SEK3M!$AL$11:$AL$23</definedName>
    <definedName name="JumpQuotes_6M">SEK6M!$AL$11:$AL$23</definedName>
    <definedName name="JumpQuotes_ON">SEKON!$AJ$11:$AJ$23</definedName>
    <definedName name="JumpSuffix">GeneralSettings!$I$9</definedName>
    <definedName name="MinDistance" localSheetId="4">SEK1M!$R$3:$R$32</definedName>
    <definedName name="MinDistance" localSheetId="2">SEK3M!$R$3:$R$51</definedName>
    <definedName name="MinDistance" localSheetId="3">SEK6M!$R$3:$R$39</definedName>
    <definedName name="MinDistance" localSheetId="1">SEKON!$P$3:$P$59</definedName>
    <definedName name="ObjectOverwrite">GeneralSettings!$D$6</definedName>
    <definedName name="Permanent">GeneralSettings!$D$4</definedName>
    <definedName name="PillarDate">GeneralSettings!$D$8</definedName>
    <definedName name="Priority" localSheetId="4">SEK1M!$Q$3:$Q$32</definedName>
    <definedName name="Priority" localSheetId="2">SEK3M!$Q$3:$Q$51</definedName>
    <definedName name="Priority" localSheetId="3">SEK6M!$Q$3:$Q$39</definedName>
    <definedName name="Priority" localSheetId="1">SEKON!$O$3:$O$59</definedName>
    <definedName name="QuoteSuffix">GeneralSettings!$I$8</definedName>
    <definedName name="RateHelpers" localSheetId="4">SEK1M!$M$3:$M$32</definedName>
    <definedName name="RateHelpers" localSheetId="2">SEK3M!$M$3:$M$51</definedName>
    <definedName name="RateHelpers" localSheetId="3">SEK6M!$M$3:$M$39</definedName>
    <definedName name="RateHelpers" localSheetId="1">SEKON!$K$3:$K$59</definedName>
    <definedName name="RateHelpers1M">SEK1M!$W$3:$W$32</definedName>
    <definedName name="RateHelpers3M">SEK3M!$W$3:$W$51</definedName>
    <definedName name="RateHelpers6M">SEK6M!$W$3:$W$39</definedName>
    <definedName name="RateHelpersON">SEKON!$U$3:$U$59</definedName>
    <definedName name="Settlementdate">GeneralSettings!$I$4</definedName>
    <definedName name="Tenor" localSheetId="4">SEK1M!$G$1</definedName>
    <definedName name="Tenor" localSheetId="2">SEK3M!$G$1</definedName>
    <definedName name="Tenor" localSheetId="3">SEK6M!$G$1</definedName>
    <definedName name="Trigger">GeneralSettings!$D$5</definedName>
    <definedName name="YieldCurve_1M">GeneralSettings!$I$28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L14" i="16" l="1"/>
  <c r="L15" i="16"/>
  <c r="M15" i="16"/>
  <c r="L16" i="16"/>
  <c r="M16" i="16"/>
  <c r="L17" i="16"/>
  <c r="M17" i="16"/>
  <c r="L18" i="16"/>
  <c r="L19" i="16"/>
  <c r="M19" i="16"/>
  <c r="L20" i="16"/>
  <c r="M20" i="16"/>
  <c r="L21" i="16"/>
  <c r="M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M34" i="16"/>
  <c r="L35" i="16"/>
  <c r="L36" i="16"/>
  <c r="M36" i="16"/>
  <c r="L37" i="16"/>
  <c r="M37" i="16"/>
  <c r="L38" i="16"/>
  <c r="M38" i="16"/>
  <c r="L39" i="16"/>
  <c r="M39" i="16"/>
  <c r="H22" i="14"/>
  <c r="I34" i="17" l="1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G4" i="17"/>
  <c r="L46" i="15" l="1"/>
  <c r="L47" i="15"/>
  <c r="L48" i="15"/>
  <c r="L49" i="15"/>
  <c r="L50" i="15"/>
  <c r="L51" i="15"/>
  <c r="G30" i="15"/>
  <c r="H30" i="15"/>
  <c r="G31" i="15"/>
  <c r="H31" i="15"/>
  <c r="G32" i="15"/>
  <c r="H32" i="15"/>
  <c r="G33" i="15"/>
  <c r="H33" i="15"/>
  <c r="G34" i="15"/>
  <c r="H34" i="15"/>
  <c r="G35" i="15"/>
  <c r="H35" i="15"/>
  <c r="G36" i="15"/>
  <c r="H36" i="15"/>
  <c r="G37" i="15"/>
  <c r="H37" i="15"/>
  <c r="G38" i="15"/>
  <c r="H38" i="15"/>
  <c r="G39" i="15"/>
  <c r="H39" i="15"/>
  <c r="G40" i="15"/>
  <c r="H40" i="15"/>
  <c r="G41" i="15"/>
  <c r="H41" i="15"/>
  <c r="G42" i="15"/>
  <c r="H42" i="15"/>
  <c r="G43" i="15"/>
  <c r="H43" i="15"/>
  <c r="G44" i="15"/>
  <c r="H44" i="15"/>
  <c r="G45" i="15"/>
  <c r="H45" i="15"/>
  <c r="G46" i="15"/>
  <c r="H46" i="15"/>
  <c r="G47" i="15"/>
  <c r="H47" i="15"/>
  <c r="G48" i="15"/>
  <c r="H48" i="15"/>
  <c r="G49" i="15"/>
  <c r="H49" i="15"/>
  <c r="G50" i="15"/>
  <c r="H50" i="15"/>
  <c r="G51" i="15"/>
  <c r="H51" i="15"/>
  <c r="G52" i="15"/>
  <c r="H52" i="15"/>
  <c r="G53" i="15"/>
  <c r="H53" i="15"/>
  <c r="G54" i="15"/>
  <c r="H54" i="15"/>
  <c r="G55" i="15"/>
  <c r="H55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C43" i="14"/>
  <c r="F43" i="14"/>
  <c r="C44" i="14"/>
  <c r="F44" i="14"/>
  <c r="C45" i="14"/>
  <c r="F45" i="14"/>
  <c r="C46" i="14"/>
  <c r="F46" i="14"/>
  <c r="C47" i="14"/>
  <c r="F47" i="14"/>
  <c r="C48" i="14"/>
  <c r="F48" i="14"/>
  <c r="C49" i="14"/>
  <c r="F49" i="14"/>
  <c r="C50" i="14"/>
  <c r="F50" i="14"/>
  <c r="C51" i="14"/>
  <c r="F51" i="14"/>
  <c r="C52" i="14"/>
  <c r="F52" i="14"/>
  <c r="C53" i="14"/>
  <c r="F53" i="14"/>
  <c r="C54" i="14"/>
  <c r="F54" i="14"/>
  <c r="C55" i="14"/>
  <c r="F55" i="14"/>
  <c r="C56" i="14"/>
  <c r="F56" i="14"/>
  <c r="C57" i="14"/>
  <c r="F57" i="14"/>
  <c r="C58" i="14"/>
  <c r="F58" i="14"/>
  <c r="C59" i="14"/>
  <c r="F59" i="14"/>
  <c r="C60" i="14"/>
  <c r="F60" i="14"/>
  <c r="C61" i="14"/>
  <c r="F61" i="14"/>
  <c r="E1" i="14"/>
  <c r="E48" i="14" s="1"/>
  <c r="J44" i="15"/>
  <c r="J45" i="15"/>
  <c r="J34" i="15"/>
  <c r="J41" i="15"/>
  <c r="J38" i="15"/>
  <c r="J49" i="15"/>
  <c r="H48" i="14"/>
  <c r="J46" i="15"/>
  <c r="J42" i="15"/>
  <c r="J51" i="15"/>
  <c r="J39" i="15"/>
  <c r="J40" i="15"/>
  <c r="J43" i="15"/>
  <c r="J48" i="15"/>
  <c r="J47" i="15"/>
  <c r="M51" i="15" l="1"/>
  <c r="M48" i="15"/>
  <c r="M49" i="15"/>
  <c r="M46" i="15"/>
  <c r="M50" i="15"/>
  <c r="M47" i="15"/>
  <c r="K46" i="14"/>
  <c r="E45" i="14"/>
  <c r="E60" i="14"/>
  <c r="E57" i="14"/>
  <c r="E54" i="14"/>
  <c r="E53" i="14"/>
  <c r="E50" i="14"/>
  <c r="E47" i="14"/>
  <c r="E44" i="14"/>
  <c r="E61" i="14"/>
  <c r="E58" i="14"/>
  <c r="E55" i="14"/>
  <c r="E52" i="14"/>
  <c r="E49" i="14"/>
  <c r="E46" i="14"/>
  <c r="E59" i="14"/>
  <c r="E51" i="14"/>
  <c r="E43" i="14"/>
  <c r="E56" i="14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G7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G16" i="16"/>
  <c r="G7" i="16"/>
  <c r="G8" i="16"/>
  <c r="G9" i="16"/>
  <c r="G12" i="16"/>
  <c r="AG23" i="15"/>
  <c r="AG22" i="15"/>
  <c r="AG21" i="15"/>
  <c r="AG20" i="15"/>
  <c r="AG19" i="15"/>
  <c r="AG18" i="15"/>
  <c r="AG17" i="15"/>
  <c r="AG16" i="15"/>
  <c r="AG15" i="15"/>
  <c r="AG14" i="15"/>
  <c r="AG13" i="15"/>
  <c r="AG12" i="15"/>
  <c r="AG11" i="15"/>
  <c r="H29" i="15"/>
  <c r="G29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J16" i="16"/>
  <c r="J15" i="17"/>
  <c r="J21" i="17"/>
  <c r="J19" i="17"/>
  <c r="J17" i="17"/>
  <c r="J24" i="17"/>
  <c r="J22" i="17"/>
  <c r="J14" i="17"/>
  <c r="J11" i="17"/>
  <c r="J23" i="17"/>
  <c r="J13" i="17"/>
  <c r="J26" i="17"/>
  <c r="J27" i="17"/>
  <c r="J28" i="17"/>
  <c r="J30" i="17"/>
  <c r="J25" i="17"/>
  <c r="J20" i="17"/>
  <c r="M10" i="17" l="1"/>
  <c r="M26" i="17"/>
  <c r="M11" i="17"/>
  <c r="M27" i="17"/>
  <c r="M21" i="17"/>
  <c r="M29" i="17"/>
  <c r="M23" i="17"/>
  <c r="M31" i="17"/>
  <c r="M9" i="17"/>
  <c r="M32" i="17"/>
  <c r="M14" i="16"/>
  <c r="M24" i="17"/>
  <c r="M28" i="17"/>
  <c r="M8" i="17"/>
  <c r="K41" i="14"/>
  <c r="K54" i="14"/>
  <c r="K57" i="14"/>
  <c r="K56" i="14"/>
  <c r="K59" i="14"/>
  <c r="K42" i="14"/>
  <c r="K43" i="14"/>
  <c r="K58" i="14"/>
  <c r="G7" i="15"/>
  <c r="G8" i="15"/>
  <c r="G9" i="15"/>
  <c r="AI16" i="16"/>
  <c r="AI23" i="17"/>
  <c r="O29" i="17"/>
  <c r="L43" i="14"/>
  <c r="M54" i="14"/>
  <c r="AI21" i="16"/>
  <c r="N26" i="17"/>
  <c r="M59" i="14"/>
  <c r="L41" i="14"/>
  <c r="S9" i="17"/>
  <c r="Q58" i="14"/>
  <c r="AI18" i="16"/>
  <c r="AI16" i="17"/>
  <c r="N8" i="17"/>
  <c r="AI15" i="17"/>
  <c r="AI13" i="15"/>
  <c r="R46" i="14"/>
  <c r="T9" i="17"/>
  <c r="AI20" i="17"/>
  <c r="AI22" i="17"/>
  <c r="R58" i="14"/>
  <c r="L42" i="14"/>
  <c r="N11" i="17"/>
  <c r="H52" i="14"/>
  <c r="M43" i="14"/>
  <c r="AI21" i="15"/>
  <c r="L58" i="14"/>
  <c r="S11" i="17"/>
  <c r="G3" i="17"/>
  <c r="T10" i="17"/>
  <c r="L46" i="14"/>
  <c r="AI20" i="15"/>
  <c r="AI19" i="16"/>
  <c r="AI17" i="15"/>
  <c r="Q46" i="14"/>
  <c r="N10" i="17"/>
  <c r="AI18" i="15"/>
  <c r="AI22" i="16"/>
  <c r="AI11" i="15"/>
  <c r="AI20" i="16"/>
  <c r="T23" i="17"/>
  <c r="AI14" i="17"/>
  <c r="AI18" i="17"/>
  <c r="L56" i="14"/>
  <c r="H50" i="14"/>
  <c r="N32" i="17"/>
  <c r="R56" i="14"/>
  <c r="Q56" i="14"/>
  <c r="AI17" i="16"/>
  <c r="O26" i="17"/>
  <c r="S26" i="17"/>
  <c r="AI14" i="16"/>
  <c r="R41" i="14"/>
  <c r="M41" i="14"/>
  <c r="O11" i="17"/>
  <c r="S10" i="17"/>
  <c r="O14" i="16"/>
  <c r="N28" i="17"/>
  <c r="H54" i="14"/>
  <c r="T31" i="17"/>
  <c r="H55" i="14"/>
  <c r="M58" i="14"/>
  <c r="AI12" i="16"/>
  <c r="H51" i="14"/>
  <c r="T29" i="17"/>
  <c r="R42" i="14"/>
  <c r="N31" i="17"/>
  <c r="S29" i="17"/>
  <c r="T14" i="16"/>
  <c r="AI11" i="16"/>
  <c r="AI22" i="15"/>
  <c r="L59" i="14"/>
  <c r="T27" i="17"/>
  <c r="T11" i="17"/>
  <c r="O31" i="17"/>
  <c r="AI19" i="15"/>
  <c r="L54" i="14"/>
  <c r="AI17" i="17"/>
  <c r="Q54" i="14"/>
  <c r="S14" i="16"/>
  <c r="AI15" i="16"/>
  <c r="N9" i="17"/>
  <c r="N23" i="17"/>
  <c r="G3" i="15"/>
  <c r="H53" i="14"/>
  <c r="AI12" i="17"/>
  <c r="O23" i="17"/>
  <c r="AI21" i="17"/>
  <c r="N24" i="17"/>
  <c r="S31" i="17"/>
  <c r="M57" i="14"/>
  <c r="M46" i="14"/>
  <c r="N21" i="17"/>
  <c r="AI23" i="16"/>
  <c r="R57" i="14"/>
  <c r="T28" i="17"/>
  <c r="AI13" i="17"/>
  <c r="T26" i="17"/>
  <c r="O32" i="17"/>
  <c r="Q41" i="14"/>
  <c r="O21" i="17"/>
  <c r="R59" i="14"/>
  <c r="S32" i="17"/>
  <c r="AI15" i="15"/>
  <c r="S28" i="17"/>
  <c r="T24" i="17"/>
  <c r="Q43" i="14"/>
  <c r="AI13" i="16"/>
  <c r="M56" i="14"/>
  <c r="L57" i="14"/>
  <c r="S8" i="17"/>
  <c r="AI11" i="17"/>
  <c r="AI14" i="15"/>
  <c r="S24" i="17"/>
  <c r="O8" i="17"/>
  <c r="T21" i="17"/>
  <c r="AI12" i="15"/>
  <c r="H47" i="14"/>
  <c r="S27" i="17"/>
  <c r="Q57" i="14"/>
  <c r="O24" i="17"/>
  <c r="O27" i="17"/>
  <c r="O9" i="17"/>
  <c r="N14" i="16"/>
  <c r="O10" i="17"/>
  <c r="Q59" i="14"/>
  <c r="S21" i="17"/>
  <c r="R43" i="14"/>
  <c r="T32" i="17"/>
  <c r="N29" i="17"/>
  <c r="G3" i="16"/>
  <c r="Q42" i="14"/>
  <c r="H57" i="14"/>
  <c r="N27" i="17"/>
  <c r="AI16" i="15"/>
  <c r="M42" i="14"/>
  <c r="AI19" i="17"/>
  <c r="R54" i="14"/>
  <c r="AI23" i="15"/>
  <c r="O28" i="17"/>
  <c r="H46" i="14"/>
  <c r="T8" i="17"/>
  <c r="S23" i="17"/>
  <c r="H49" i="14"/>
  <c r="K45" i="14" l="1"/>
  <c r="K50" i="14"/>
  <c r="K53" i="14"/>
  <c r="K44" i="14"/>
  <c r="K48" i="14"/>
  <c r="K55" i="14"/>
  <c r="K47" i="14"/>
  <c r="K51" i="14"/>
  <c r="K49" i="14"/>
  <c r="K52" i="14"/>
  <c r="I30" i="1"/>
  <c r="D30" i="1"/>
  <c r="I15" i="1"/>
  <c r="L45" i="14"/>
  <c r="R44" i="14"/>
  <c r="Q53" i="14"/>
  <c r="Q49" i="14"/>
  <c r="M50" i="14"/>
  <c r="Q45" i="14"/>
  <c r="Q51" i="14"/>
  <c r="Q47" i="14"/>
  <c r="R50" i="14"/>
  <c r="L47" i="14"/>
  <c r="M48" i="14"/>
  <c r="M49" i="14"/>
  <c r="L50" i="14"/>
  <c r="R49" i="14"/>
  <c r="R45" i="14"/>
  <c r="L48" i="14"/>
  <c r="L44" i="14"/>
  <c r="L53" i="14"/>
  <c r="M55" i="14"/>
  <c r="M52" i="14"/>
  <c r="M44" i="14"/>
  <c r="M51" i="14"/>
  <c r="M45" i="14"/>
  <c r="L52" i="14"/>
  <c r="R47" i="14"/>
  <c r="Q52" i="14"/>
  <c r="Q48" i="14"/>
  <c r="L55" i="14"/>
  <c r="R55" i="14"/>
  <c r="Q50" i="14"/>
  <c r="Q44" i="14"/>
  <c r="R53" i="14"/>
  <c r="R51" i="14"/>
  <c r="R52" i="14"/>
  <c r="M47" i="14"/>
  <c r="L51" i="14"/>
  <c r="L49" i="14"/>
  <c r="R48" i="14"/>
  <c r="M53" i="14"/>
  <c r="Q55" i="14"/>
  <c r="AE23" i="14" l="1"/>
  <c r="AE22" i="14"/>
  <c r="AE21" i="14"/>
  <c r="AE20" i="14"/>
  <c r="AE19" i="14"/>
  <c r="AE18" i="14"/>
  <c r="AE17" i="14"/>
  <c r="AE16" i="14"/>
  <c r="AE15" i="14"/>
  <c r="AE14" i="14"/>
  <c r="AE13" i="14"/>
  <c r="AE12" i="14"/>
  <c r="AE11" i="14"/>
  <c r="T1" i="14"/>
  <c r="J6" i="14"/>
  <c r="J7" i="14"/>
  <c r="J8" i="14"/>
  <c r="J5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7" i="14"/>
  <c r="E4" i="14"/>
  <c r="E3" i="14"/>
  <c r="D15" i="1"/>
  <c r="AG12" i="14"/>
  <c r="AG11" i="14"/>
  <c r="AG16" i="14"/>
  <c r="AG22" i="14"/>
  <c r="AG15" i="14"/>
  <c r="AG23" i="14"/>
  <c r="AG17" i="14"/>
  <c r="AG20" i="14"/>
  <c r="AG18" i="14"/>
  <c r="AG21" i="14"/>
  <c r="AG13" i="14"/>
  <c r="AG19" i="14"/>
  <c r="AG14" i="14"/>
  <c r="K4" i="14" l="1"/>
  <c r="L7" i="17" l="1"/>
  <c r="C7" i="17"/>
  <c r="L6" i="17"/>
  <c r="C6" i="17"/>
  <c r="L5" i="17"/>
  <c r="C5" i="17"/>
  <c r="L4" i="17"/>
  <c r="L3" i="17"/>
  <c r="V1" i="17"/>
  <c r="H1" i="17"/>
  <c r="H7" i="17" s="1"/>
  <c r="L13" i="16"/>
  <c r="L10" i="16"/>
  <c r="L11" i="16"/>
  <c r="L12" i="16"/>
  <c r="C10" i="16"/>
  <c r="C11" i="16"/>
  <c r="C1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5" i="16"/>
  <c r="L9" i="16"/>
  <c r="C9" i="16"/>
  <c r="L8" i="16"/>
  <c r="C8" i="16"/>
  <c r="L7" i="16"/>
  <c r="C7" i="16"/>
  <c r="L6" i="16"/>
  <c r="C6" i="16"/>
  <c r="L5" i="16"/>
  <c r="C5" i="16"/>
  <c r="L4" i="16"/>
  <c r="L3" i="16"/>
  <c r="V1" i="16"/>
  <c r="H1" i="16"/>
  <c r="H8" i="16" s="1"/>
  <c r="J8" i="16"/>
  <c r="J33" i="16"/>
  <c r="G10" i="16"/>
  <c r="J25" i="16"/>
  <c r="J37" i="16"/>
  <c r="J28" i="16"/>
  <c r="J30" i="16"/>
  <c r="J27" i="16"/>
  <c r="J35" i="16"/>
  <c r="J24" i="16"/>
  <c r="J34" i="16"/>
  <c r="G6" i="17"/>
  <c r="J20" i="16"/>
  <c r="J29" i="16"/>
  <c r="G5" i="17"/>
  <c r="J31" i="16"/>
  <c r="J26" i="16"/>
  <c r="G11" i="16"/>
  <c r="J32" i="16"/>
  <c r="M33" i="16" l="1"/>
  <c r="M18" i="16"/>
  <c r="M35" i="16"/>
  <c r="M29" i="16"/>
  <c r="M22" i="16"/>
  <c r="M30" i="16"/>
  <c r="M25" i="16"/>
  <c r="M26" i="16"/>
  <c r="M23" i="16"/>
  <c r="M31" i="16"/>
  <c r="M27" i="16"/>
  <c r="M28" i="16"/>
  <c r="M24" i="16"/>
  <c r="M32" i="16"/>
  <c r="H6" i="17"/>
  <c r="H3" i="17"/>
  <c r="H4" i="17"/>
  <c r="H5" i="17"/>
  <c r="M13" i="16"/>
  <c r="H11" i="16"/>
  <c r="H12" i="16"/>
  <c r="H10" i="16"/>
  <c r="H4" i="16"/>
  <c r="H9" i="16"/>
  <c r="H3" i="16"/>
  <c r="H7" i="16"/>
  <c r="H6" i="16"/>
  <c r="H5" i="16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10" i="15"/>
  <c r="L4" i="15"/>
  <c r="L5" i="15"/>
  <c r="L6" i="15"/>
  <c r="L7" i="15"/>
  <c r="L8" i="15"/>
  <c r="L9" i="15"/>
  <c r="H1" i="15"/>
  <c r="H4" i="15" s="1"/>
  <c r="C6" i="15"/>
  <c r="C7" i="15"/>
  <c r="C8" i="15"/>
  <c r="C9" i="15"/>
  <c r="C5" i="15"/>
  <c r="V1" i="15"/>
  <c r="L3" i="15"/>
  <c r="J3" i="14"/>
  <c r="J4" i="14"/>
  <c r="F4" i="14"/>
  <c r="F3" i="14"/>
  <c r="S15" i="16"/>
  <c r="O34" i="16"/>
  <c r="T26" i="16"/>
  <c r="O39" i="16"/>
  <c r="T38" i="16"/>
  <c r="T31" i="16"/>
  <c r="T17" i="16"/>
  <c r="T24" i="16"/>
  <c r="J11" i="16"/>
  <c r="S36" i="16"/>
  <c r="T16" i="16"/>
  <c r="O30" i="16"/>
  <c r="N36" i="16"/>
  <c r="S23" i="16"/>
  <c r="O31" i="16"/>
  <c r="S24" i="16"/>
  <c r="N16" i="16"/>
  <c r="N30" i="16"/>
  <c r="N17" i="16"/>
  <c r="S13" i="16"/>
  <c r="S35" i="16"/>
  <c r="O33" i="16"/>
  <c r="S17" i="16"/>
  <c r="N13" i="16"/>
  <c r="O25" i="16"/>
  <c r="N15" i="16"/>
  <c r="O38" i="16"/>
  <c r="N26" i="16"/>
  <c r="J6" i="17"/>
  <c r="N25" i="16"/>
  <c r="O13" i="16"/>
  <c r="N38" i="16"/>
  <c r="N32" i="16"/>
  <c r="T34" i="16"/>
  <c r="O35" i="16"/>
  <c r="N31" i="16"/>
  <c r="N28" i="16"/>
  <c r="J4" i="17"/>
  <c r="O26" i="16"/>
  <c r="T29" i="16"/>
  <c r="S39" i="16"/>
  <c r="O23" i="16"/>
  <c r="S29" i="16"/>
  <c r="O27" i="16"/>
  <c r="N35" i="16"/>
  <c r="N34" i="16"/>
  <c r="O37" i="16"/>
  <c r="O36" i="16"/>
  <c r="S34" i="16"/>
  <c r="J7" i="16"/>
  <c r="S27" i="16"/>
  <c r="T23" i="16"/>
  <c r="O29" i="16"/>
  <c r="T39" i="16"/>
  <c r="N24" i="16"/>
  <c r="S32" i="16"/>
  <c r="J10" i="16"/>
  <c r="S38" i="16"/>
  <c r="N29" i="16"/>
  <c r="O15" i="16"/>
  <c r="S26" i="16"/>
  <c r="T15" i="16"/>
  <c r="N33" i="16"/>
  <c r="S31" i="16"/>
  <c r="T33" i="16"/>
  <c r="T36" i="16"/>
  <c r="O24" i="16"/>
  <c r="T28" i="16"/>
  <c r="S30" i="16"/>
  <c r="T32" i="16"/>
  <c r="T13" i="16"/>
  <c r="O16" i="16"/>
  <c r="S33" i="16"/>
  <c r="T37" i="16"/>
  <c r="N37" i="16"/>
  <c r="J5" i="17"/>
  <c r="T30" i="16"/>
  <c r="J9" i="16"/>
  <c r="O32" i="16"/>
  <c r="T25" i="16"/>
  <c r="T27" i="16"/>
  <c r="N39" i="16"/>
  <c r="O17" i="16"/>
  <c r="N27" i="16"/>
  <c r="S37" i="16"/>
  <c r="S28" i="16"/>
  <c r="S16" i="16"/>
  <c r="S25" i="16"/>
  <c r="N23" i="16"/>
  <c r="T35" i="16"/>
  <c r="O28" i="16"/>
  <c r="H9" i="15" l="1"/>
  <c r="M5" i="17"/>
  <c r="M3" i="17"/>
  <c r="M6" i="17"/>
  <c r="M3" i="16"/>
  <c r="M4" i="16"/>
  <c r="M5" i="16"/>
  <c r="M6" i="16"/>
  <c r="K3" i="14"/>
  <c r="M4" i="15"/>
  <c r="M41" i="15"/>
  <c r="M40" i="15"/>
  <c r="M39" i="15"/>
  <c r="M31" i="15"/>
  <c r="M30" i="15"/>
  <c r="M29" i="15"/>
  <c r="M36" i="15"/>
  <c r="M35" i="15"/>
  <c r="M34" i="15"/>
  <c r="M26" i="15"/>
  <c r="H8" i="15"/>
  <c r="H7" i="15"/>
  <c r="H5" i="15"/>
  <c r="H3" i="15"/>
  <c r="H6" i="15"/>
  <c r="N29" i="15"/>
  <c r="O36" i="15"/>
  <c r="J8" i="15"/>
  <c r="J12" i="16"/>
  <c r="T3" i="17"/>
  <c r="N4" i="16"/>
  <c r="S3" i="16"/>
  <c r="N6" i="16"/>
  <c r="S26" i="15"/>
  <c r="S6" i="16"/>
  <c r="N50" i="15"/>
  <c r="N6" i="17"/>
  <c r="T5" i="16"/>
  <c r="N41" i="15"/>
  <c r="T29" i="15"/>
  <c r="O30" i="15"/>
  <c r="T30" i="15"/>
  <c r="S29" i="15"/>
  <c r="S41" i="15"/>
  <c r="T6" i="17"/>
  <c r="N4" i="15"/>
  <c r="T51" i="15"/>
  <c r="O4" i="15"/>
  <c r="N34" i="15"/>
  <c r="O26" i="15"/>
  <c r="S40" i="15"/>
  <c r="T4" i="15"/>
  <c r="O41" i="15"/>
  <c r="O5" i="16"/>
  <c r="T36" i="15"/>
  <c r="O3" i="17"/>
  <c r="T34" i="15"/>
  <c r="T40" i="15"/>
  <c r="O31" i="15"/>
  <c r="N5" i="17"/>
  <c r="T35" i="15"/>
  <c r="N51" i="15"/>
  <c r="S49" i="15"/>
  <c r="O35" i="15"/>
  <c r="S30" i="15"/>
  <c r="T3" i="16"/>
  <c r="O3" i="16"/>
  <c r="T41" i="15"/>
  <c r="T39" i="15"/>
  <c r="T6" i="16"/>
  <c r="J7" i="17"/>
  <c r="S4" i="16"/>
  <c r="O40" i="15"/>
  <c r="S3" i="17"/>
  <c r="S39" i="15"/>
  <c r="N49" i="15"/>
  <c r="N5" i="16"/>
  <c r="J7" i="15"/>
  <c r="N40" i="15"/>
  <c r="O34" i="15"/>
  <c r="N30" i="15"/>
  <c r="O49" i="15"/>
  <c r="S36" i="15"/>
  <c r="N3" i="17"/>
  <c r="T49" i="15"/>
  <c r="S50" i="15"/>
  <c r="O51" i="15"/>
  <c r="J9" i="15"/>
  <c r="O5" i="17"/>
  <c r="S5" i="17"/>
  <c r="O6" i="16"/>
  <c r="N35" i="15"/>
  <c r="N39" i="15"/>
  <c r="N31" i="15"/>
  <c r="S6" i="17"/>
  <c r="N3" i="16"/>
  <c r="O39" i="15"/>
  <c r="N26" i="15"/>
  <c r="N36" i="15"/>
  <c r="S31" i="15"/>
  <c r="O6" i="17"/>
  <c r="S35" i="15"/>
  <c r="T26" i="15"/>
  <c r="S5" i="16"/>
  <c r="T31" i="15"/>
  <c r="O29" i="15"/>
  <c r="O50" i="15"/>
  <c r="S4" i="15"/>
  <c r="T4" i="16"/>
  <c r="T50" i="15"/>
  <c r="S34" i="15"/>
  <c r="S51" i="15"/>
  <c r="O4" i="16"/>
  <c r="T5" i="17"/>
  <c r="M10" i="16" l="1"/>
  <c r="M7" i="16"/>
  <c r="M7" i="17"/>
  <c r="M4" i="17"/>
  <c r="M8" i="16"/>
  <c r="M9" i="16"/>
  <c r="M12" i="16"/>
  <c r="M11" i="16"/>
  <c r="M9" i="15"/>
  <c r="M6" i="15"/>
  <c r="M3" i="15"/>
  <c r="M5" i="15"/>
  <c r="M7" i="15"/>
  <c r="M8" i="15"/>
  <c r="D7" i="1"/>
  <c r="O9" i="16"/>
  <c r="S5" i="15"/>
  <c r="S7" i="15"/>
  <c r="O8" i="15"/>
  <c r="S3" i="15"/>
  <c r="O9" i="15"/>
  <c r="W3" i="16" a="1"/>
  <c r="S10" i="16"/>
  <c r="N6" i="15"/>
  <c r="T4" i="17"/>
  <c r="N8" i="16"/>
  <c r="O8" i="16"/>
  <c r="T9" i="15"/>
  <c r="T7" i="16"/>
  <c r="S12" i="16"/>
  <c r="O6" i="15"/>
  <c r="N7" i="16"/>
  <c r="S7" i="17"/>
  <c r="N7" i="15"/>
  <c r="N8" i="15"/>
  <c r="O7" i="17"/>
  <c r="S8" i="16"/>
  <c r="O7" i="15"/>
  <c r="N10" i="16"/>
  <c r="T7" i="17"/>
  <c r="T10" i="16"/>
  <c r="T8" i="15"/>
  <c r="T3" i="15"/>
  <c r="N11" i="16"/>
  <c r="O12" i="16"/>
  <c r="N12" i="16"/>
  <c r="O5" i="15"/>
  <c r="N3" i="15"/>
  <c r="T9" i="16"/>
  <c r="O3" i="15"/>
  <c r="T12" i="16"/>
  <c r="T7" i="15"/>
  <c r="S8" i="15"/>
  <c r="S9" i="15"/>
  <c r="N5" i="15"/>
  <c r="T11" i="16"/>
  <c r="T6" i="15"/>
  <c r="S7" i="16"/>
  <c r="T8" i="16"/>
  <c r="N9" i="16"/>
  <c r="O11" i="16"/>
  <c r="T5" i="15"/>
  <c r="S6" i="15"/>
  <c r="S4" i="17"/>
  <c r="O7" i="16"/>
  <c r="N9" i="15"/>
  <c r="S11" i="16"/>
  <c r="O10" i="16"/>
  <c r="N4" i="17"/>
  <c r="N7" i="17"/>
  <c r="S9" i="16"/>
  <c r="O4" i="17"/>
  <c r="W26" i="16" l="1"/>
  <c r="W12" i="16"/>
  <c r="W37" i="16"/>
  <c r="W23" i="16"/>
  <c r="W17" i="16"/>
  <c r="W34" i="16"/>
  <c r="W20" i="16"/>
  <c r="W6" i="16"/>
  <c r="W31" i="16"/>
  <c r="W25" i="16"/>
  <c r="W3" i="16"/>
  <c r="W28" i="16"/>
  <c r="W14" i="16"/>
  <c r="W39" i="16"/>
  <c r="W33" i="16"/>
  <c r="W11" i="16"/>
  <c r="W36" i="16"/>
  <c r="W22" i="16"/>
  <c r="W8" i="16"/>
  <c r="W19" i="16"/>
  <c r="W5" i="16"/>
  <c r="W30" i="16"/>
  <c r="W16" i="16"/>
  <c r="W27" i="16"/>
  <c r="W13" i="16"/>
  <c r="W38" i="16"/>
  <c r="W24" i="16"/>
  <c r="W10" i="16"/>
  <c r="W35" i="16"/>
  <c r="W21" i="16"/>
  <c r="W7" i="16"/>
  <c r="W32" i="16"/>
  <c r="W18" i="16"/>
  <c r="W4" i="16"/>
  <c r="W29" i="16"/>
  <c r="W15" i="16"/>
  <c r="W9" i="16"/>
  <c r="M14" i="17"/>
  <c r="M17" i="17"/>
  <c r="M13" i="17"/>
  <c r="M20" i="17"/>
  <c r="M12" i="17"/>
  <c r="M16" i="17"/>
  <c r="M19" i="17"/>
  <c r="M15" i="17"/>
  <c r="M18" i="17"/>
  <c r="M22" i="17"/>
  <c r="M30" i="17"/>
  <c r="M25" i="17"/>
  <c r="M33" i="15"/>
  <c r="M43" i="15"/>
  <c r="M45" i="15"/>
  <c r="M28" i="15"/>
  <c r="M25" i="15"/>
  <c r="M38" i="15"/>
  <c r="M42" i="15"/>
  <c r="M27" i="15"/>
  <c r="M44" i="15"/>
  <c r="M32" i="15"/>
  <c r="M37" i="15"/>
  <c r="O15" i="17"/>
  <c r="S12" i="17"/>
  <c r="S25" i="17"/>
  <c r="T18" i="16"/>
  <c r="O17" i="17"/>
  <c r="S16" i="17"/>
  <c r="O22" i="16"/>
  <c r="O21" i="16"/>
  <c r="N21" i="16"/>
  <c r="O19" i="17"/>
  <c r="S28" i="15"/>
  <c r="O30" i="17"/>
  <c r="O16" i="17"/>
  <c r="N25" i="15"/>
  <c r="O43" i="15"/>
  <c r="N38" i="15"/>
  <c r="T19" i="17"/>
  <c r="O33" i="15"/>
  <c r="T28" i="15"/>
  <c r="N19" i="16"/>
  <c r="T17" i="17"/>
  <c r="N22" i="16"/>
  <c r="S30" i="17"/>
  <c r="T15" i="17"/>
  <c r="N22" i="17"/>
  <c r="S19" i="17"/>
  <c r="T33" i="15"/>
  <c r="S33" i="15"/>
  <c r="N28" i="15"/>
  <c r="T22" i="16"/>
  <c r="S17" i="17"/>
  <c r="O18" i="16"/>
  <c r="N14" i="17"/>
  <c r="N18" i="16"/>
  <c r="O38" i="15"/>
  <c r="O22" i="17"/>
  <c r="S15" i="17"/>
  <c r="S14" i="17"/>
  <c r="O28" i="15"/>
  <c r="S18" i="17"/>
  <c r="N20" i="16"/>
  <c r="T45" i="15"/>
  <c r="S19" i="16"/>
  <c r="O25" i="17"/>
  <c r="O25" i="15"/>
  <c r="N16" i="17"/>
  <c r="S18" i="16"/>
  <c r="N17" i="17"/>
  <c r="T18" i="17"/>
  <c r="T21" i="16"/>
  <c r="T38" i="15"/>
  <c r="O14" i="17"/>
  <c r="T43" i="15"/>
  <c r="N45" i="15"/>
  <c r="S43" i="15"/>
  <c r="S20" i="17"/>
  <c r="T20" i="17"/>
  <c r="O12" i="17"/>
  <c r="O19" i="16"/>
  <c r="T16" i="17"/>
  <c r="S45" i="15"/>
  <c r="T20" i="16"/>
  <c r="N19" i="17"/>
  <c r="S20" i="16"/>
  <c r="N25" i="17"/>
  <c r="S21" i="16"/>
  <c r="T12" i="17"/>
  <c r="N15" i="17"/>
  <c r="N18" i="17"/>
  <c r="T14" i="17"/>
  <c r="O18" i="17"/>
  <c r="S22" i="16"/>
  <c r="N30" i="17"/>
  <c r="S25" i="15"/>
  <c r="O20" i="17"/>
  <c r="O20" i="16"/>
  <c r="T19" i="16"/>
  <c r="N12" i="17"/>
  <c r="S22" i="17"/>
  <c r="S13" i="17"/>
  <c r="S38" i="15"/>
  <c r="T25" i="15"/>
  <c r="O13" i="17"/>
  <c r="N33" i="15"/>
  <c r="N20" i="17"/>
  <c r="T25" i="17"/>
  <c r="T22" i="17"/>
  <c r="T30" i="17"/>
  <c r="T13" i="17"/>
  <c r="N13" i="17"/>
  <c r="N43" i="15"/>
  <c r="O45" i="15"/>
  <c r="C28" i="14" l="1"/>
  <c r="C25" i="14"/>
  <c r="C26" i="14"/>
  <c r="C29" i="14"/>
  <c r="C32" i="14"/>
  <c r="C37" i="14"/>
  <c r="C40" i="14"/>
  <c r="C34" i="14"/>
  <c r="C39" i="14"/>
  <c r="C41" i="14"/>
  <c r="C24" i="14"/>
  <c r="C31" i="14"/>
  <c r="C38" i="14"/>
  <c r="C27" i="14"/>
  <c r="C35" i="14"/>
  <c r="C23" i="14"/>
  <c r="C30" i="14"/>
  <c r="C33" i="14"/>
  <c r="C22" i="14"/>
  <c r="C42" i="14"/>
  <c r="C36" i="14"/>
  <c r="C10" i="14" l="1"/>
  <c r="C13" i="14"/>
  <c r="C15" i="14"/>
  <c r="C12" i="14"/>
  <c r="C20" i="14"/>
  <c r="C11" i="14"/>
  <c r="C16" i="14"/>
  <c r="C14" i="14"/>
  <c r="C17" i="14"/>
  <c r="C19" i="14"/>
  <c r="C9" i="14"/>
  <c r="C7" i="14"/>
  <c r="C21" i="14"/>
  <c r="C18" i="14"/>
  <c r="C8" i="14"/>
  <c r="H12" i="14"/>
  <c r="H18" i="14"/>
  <c r="H15" i="14"/>
  <c r="K12" i="14" l="1"/>
  <c r="K14" i="14"/>
  <c r="K16" i="14"/>
  <c r="K19" i="14"/>
  <c r="K18" i="14"/>
  <c r="K10" i="14"/>
  <c r="K13" i="14"/>
  <c r="K17" i="14"/>
  <c r="K11" i="14"/>
  <c r="K15" i="14"/>
  <c r="K25" i="14" l="1"/>
  <c r="K23" i="14"/>
  <c r="K29" i="14"/>
  <c r="K33" i="14"/>
  <c r="K38" i="14"/>
  <c r="K30" i="14"/>
  <c r="K27" i="14"/>
  <c r="K21" i="14"/>
  <c r="K39" i="14"/>
  <c r="K24" i="14"/>
  <c r="K31" i="14"/>
  <c r="K20" i="14"/>
  <c r="K28" i="14"/>
  <c r="K26" i="14"/>
  <c r="K22" i="14"/>
  <c r="K35" i="14"/>
  <c r="K34" i="14"/>
  <c r="K37" i="14"/>
  <c r="K7" i="14"/>
  <c r="K6" i="14"/>
  <c r="Q31" i="14"/>
  <c r="I3" i="1"/>
  <c r="T42" i="15"/>
  <c r="Q37" i="14"/>
  <c r="Q39" i="14"/>
  <c r="H42" i="14"/>
  <c r="R19" i="14"/>
  <c r="M18" i="14"/>
  <c r="Q16" i="14"/>
  <c r="Q29" i="14"/>
  <c r="L4" i="14"/>
  <c r="M26" i="14"/>
  <c r="M28" i="14"/>
  <c r="L28" i="14"/>
  <c r="Q17" i="14"/>
  <c r="Q34" i="14"/>
  <c r="T44" i="15"/>
  <c r="T46" i="15"/>
  <c r="M6" i="14"/>
  <c r="R13" i="14"/>
  <c r="L25" i="14"/>
  <c r="R17" i="14"/>
  <c r="Q20" i="14"/>
  <c r="R25" i="14"/>
  <c r="M16" i="14"/>
  <c r="M39" i="14"/>
  <c r="R26" i="14"/>
  <c r="Q26" i="14"/>
  <c r="R38" i="14"/>
  <c r="N46" i="15"/>
  <c r="T47" i="15"/>
  <c r="N44" i="15"/>
  <c r="O32" i="15"/>
  <c r="L34" i="14"/>
  <c r="M30" i="14"/>
  <c r="Q35" i="14"/>
  <c r="M3" i="14"/>
  <c r="R30" i="14"/>
  <c r="M29" i="14"/>
  <c r="R11" i="14"/>
  <c r="R7" i="14"/>
  <c r="R16" i="14"/>
  <c r="M33" i="14"/>
  <c r="R14" i="14"/>
  <c r="Q3" i="14"/>
  <c r="Q21" i="14"/>
  <c r="H11" i="14"/>
  <c r="M15" i="14"/>
  <c r="M23" i="14"/>
  <c r="M14" i="14"/>
  <c r="L17" i="14"/>
  <c r="M25" i="14"/>
  <c r="Q24" i="14"/>
  <c r="Q4" i="14"/>
  <c r="T32" i="15"/>
  <c r="M24" i="14"/>
  <c r="N47" i="15"/>
  <c r="N37" i="15"/>
  <c r="R28" i="14"/>
  <c r="R18" i="14"/>
  <c r="R6" i="14"/>
  <c r="S27" i="15"/>
  <c r="L20" i="14"/>
  <c r="R33" i="14"/>
  <c r="R39" i="14"/>
  <c r="L38" i="14"/>
  <c r="R35" i="14"/>
  <c r="L12" i="14"/>
  <c r="Q7" i="14"/>
  <c r="M22" i="14"/>
  <c r="S32" i="15"/>
  <c r="L30" i="14"/>
  <c r="H10" i="14"/>
  <c r="Q19" i="14"/>
  <c r="R37" i="14"/>
  <c r="M17" i="14"/>
  <c r="R20" i="14"/>
  <c r="S44" i="15"/>
  <c r="L26" i="14"/>
  <c r="R22" i="14"/>
  <c r="Q14" i="14"/>
  <c r="L15" i="14"/>
  <c r="L11" i="14"/>
  <c r="L27" i="14"/>
  <c r="L10" i="14"/>
  <c r="R4" i="14"/>
  <c r="L7" i="14"/>
  <c r="R12" i="14"/>
  <c r="M37" i="14"/>
  <c r="M38" i="14"/>
  <c r="H34" i="14"/>
  <c r="M4" i="14"/>
  <c r="M34" i="14"/>
  <c r="O48" i="15"/>
  <c r="Q11" i="14"/>
  <c r="Q30" i="14"/>
  <c r="Q25" i="14"/>
  <c r="L21" i="14"/>
  <c r="S37" i="15"/>
  <c r="L6" i="14"/>
  <c r="M35" i="14"/>
  <c r="L29" i="14"/>
  <c r="L23" i="14"/>
  <c r="L22" i="14"/>
  <c r="R23" i="14"/>
  <c r="Q10" i="14"/>
  <c r="M20" i="14"/>
  <c r="O44" i="15"/>
  <c r="Q15" i="14"/>
  <c r="N27" i="15"/>
  <c r="N32" i="15"/>
  <c r="L19" i="14"/>
  <c r="L37" i="14"/>
  <c r="Q22" i="14"/>
  <c r="T48" i="15"/>
  <c r="R10" i="14"/>
  <c r="M19" i="14"/>
  <c r="L14" i="14"/>
  <c r="T27" i="15"/>
  <c r="L35" i="14"/>
  <c r="M13" i="14"/>
  <c r="Q12" i="14"/>
  <c r="L16" i="14"/>
  <c r="R3" i="14"/>
  <c r="Q18" i="14"/>
  <c r="O47" i="15"/>
  <c r="M11" i="14"/>
  <c r="R15" i="14"/>
  <c r="N48" i="15"/>
  <c r="S48" i="15"/>
  <c r="N42" i="15"/>
  <c r="Q13" i="14"/>
  <c r="L3" i="14"/>
  <c r="Q28" i="14"/>
  <c r="L33" i="14"/>
  <c r="H38" i="14"/>
  <c r="L24" i="14"/>
  <c r="R21" i="14"/>
  <c r="O42" i="15"/>
  <c r="Q23" i="14"/>
  <c r="S47" i="15"/>
  <c r="M21" i="14"/>
  <c r="L31" i="14"/>
  <c r="L39" i="14"/>
  <c r="L18" i="14"/>
  <c r="R29" i="14"/>
  <c r="S42" i="15"/>
  <c r="R31" i="14"/>
  <c r="M27" i="14"/>
  <c r="R27" i="14"/>
  <c r="M10" i="14"/>
  <c r="Q33" i="14"/>
  <c r="R34" i="14"/>
  <c r="M7" i="14"/>
  <c r="O46" i="15"/>
  <c r="Q6" i="14"/>
  <c r="Q27" i="14"/>
  <c r="O27" i="15"/>
  <c r="O37" i="15"/>
  <c r="L13" i="14"/>
  <c r="M31" i="14"/>
  <c r="S46" i="15"/>
  <c r="T37" i="15"/>
  <c r="Q38" i="14"/>
  <c r="R24" i="14"/>
  <c r="M12" i="14"/>
  <c r="K40" i="14" l="1"/>
  <c r="K32" i="14"/>
  <c r="K8" i="14"/>
  <c r="K36" i="14"/>
  <c r="K9" i="14"/>
  <c r="K5" i="14"/>
  <c r="M5" i="14"/>
  <c r="I4" i="1"/>
  <c r="M32" i="14"/>
  <c r="R32" i="14"/>
  <c r="AF11" i="17"/>
  <c r="Q40" i="14"/>
  <c r="Q36" i="14"/>
  <c r="M9" i="14"/>
  <c r="Q9" i="14"/>
  <c r="L9" i="14"/>
  <c r="L36" i="14"/>
  <c r="M40" i="14"/>
  <c r="M8" i="14"/>
  <c r="U3" i="14" a="1"/>
  <c r="L5" i="14"/>
  <c r="AF11" i="16"/>
  <c r="Q8" i="14"/>
  <c r="Q32" i="14"/>
  <c r="C12" i="15"/>
  <c r="R8" i="14"/>
  <c r="Q5" i="14"/>
  <c r="C13" i="15"/>
  <c r="L8" i="14"/>
  <c r="L32" i="14"/>
  <c r="AF11" i="15"/>
  <c r="AF12" i="15" s="1"/>
  <c r="AD11" i="14"/>
  <c r="R5" i="14"/>
  <c r="R9" i="14"/>
  <c r="M36" i="14"/>
  <c r="L40" i="14"/>
  <c r="R36" i="14"/>
  <c r="AH11" i="15"/>
  <c r="R40" i="14"/>
  <c r="U15" i="14" l="1"/>
  <c r="U59" i="14"/>
  <c r="U26" i="14"/>
  <c r="U49" i="14"/>
  <c r="U39" i="14"/>
  <c r="U56" i="14"/>
  <c r="U44" i="14"/>
  <c r="U33" i="14"/>
  <c r="U14" i="14"/>
  <c r="U3" i="14"/>
  <c r="U18" i="14"/>
  <c r="U57" i="14"/>
  <c r="U54" i="14"/>
  <c r="U7" i="14"/>
  <c r="U23" i="14"/>
  <c r="U4" i="14"/>
  <c r="U27" i="14"/>
  <c r="U46" i="14"/>
  <c r="U16" i="14"/>
  <c r="U52" i="14"/>
  <c r="U34" i="14"/>
  <c r="U12" i="14"/>
  <c r="U31" i="14"/>
  <c r="U11" i="14"/>
  <c r="U38" i="14"/>
  <c r="U42" i="14"/>
  <c r="U24" i="14"/>
  <c r="U5" i="14"/>
  <c r="U36" i="14"/>
  <c r="U10" i="14"/>
  <c r="U48" i="14"/>
  <c r="U37" i="14"/>
  <c r="U53" i="14"/>
  <c r="U13" i="14"/>
  <c r="U51" i="14"/>
  <c r="U22" i="14"/>
  <c r="U45" i="14"/>
  <c r="U21" i="14"/>
  <c r="U55" i="14"/>
  <c r="U50" i="14"/>
  <c r="U19" i="14"/>
  <c r="U32" i="14"/>
  <c r="U35" i="14"/>
  <c r="U8" i="14"/>
  <c r="U9" i="14"/>
  <c r="U25" i="14"/>
  <c r="U41" i="14"/>
  <c r="U17" i="14"/>
  <c r="U28" i="14"/>
  <c r="U29" i="14"/>
  <c r="U6" i="14"/>
  <c r="U58" i="14"/>
  <c r="U20" i="14"/>
  <c r="U40" i="14"/>
  <c r="U30" i="14"/>
  <c r="U47" i="14"/>
  <c r="U43" i="14"/>
  <c r="AL11" i="15"/>
  <c r="AJ11" i="15"/>
  <c r="X31" i="14"/>
  <c r="V55" i="14"/>
  <c r="Y51" i="14"/>
  <c r="W39" i="14"/>
  <c r="Y44" i="14"/>
  <c r="W42" i="14"/>
  <c r="W32" i="14"/>
  <c r="V24" i="14"/>
  <c r="Z22" i="14"/>
  <c r="AF23" i="16"/>
  <c r="X27" i="14"/>
  <c r="X24" i="14"/>
  <c r="V38" i="14"/>
  <c r="W48" i="14"/>
  <c r="X47" i="14"/>
  <c r="W55" i="14"/>
  <c r="V22" i="14"/>
  <c r="W22" i="14"/>
  <c r="Y46" i="14"/>
  <c r="W23" i="14"/>
  <c r="Z39" i="14"/>
  <c r="Z59" i="14"/>
  <c r="X41" i="14"/>
  <c r="X46" i="14"/>
  <c r="Z50" i="14"/>
  <c r="Y24" i="14"/>
  <c r="Y56" i="14"/>
  <c r="W38" i="14"/>
  <c r="Y35" i="14"/>
  <c r="Y45" i="14"/>
  <c r="W51" i="14"/>
  <c r="Z58" i="14"/>
  <c r="Z29" i="14"/>
  <c r="V59" i="14"/>
  <c r="Z57" i="14"/>
  <c r="Y55" i="14"/>
  <c r="V53" i="14"/>
  <c r="W58" i="14"/>
  <c r="V56" i="14"/>
  <c r="Y50" i="14"/>
  <c r="Y39" i="14"/>
  <c r="V23" i="14"/>
  <c r="W24" i="14"/>
  <c r="W57" i="14"/>
  <c r="W49" i="14"/>
  <c r="Y37" i="14"/>
  <c r="X45" i="14"/>
  <c r="Y54" i="14"/>
  <c r="Y23" i="14"/>
  <c r="Z52" i="14"/>
  <c r="Z27" i="14"/>
  <c r="W36" i="14"/>
  <c r="Z56" i="14"/>
  <c r="W33" i="14"/>
  <c r="Z43" i="14"/>
  <c r="Y36" i="14"/>
  <c r="Y32" i="14"/>
  <c r="Z36" i="14"/>
  <c r="Z25" i="14"/>
  <c r="V50" i="14"/>
  <c r="V41" i="14"/>
  <c r="W31" i="14"/>
  <c r="X38" i="14"/>
  <c r="Y58" i="14"/>
  <c r="Y25" i="14"/>
  <c r="V42" i="14"/>
  <c r="Y34" i="14"/>
  <c r="Y53" i="14"/>
  <c r="V31" i="14"/>
  <c r="V49" i="14"/>
  <c r="X33" i="14"/>
  <c r="X26" i="14"/>
  <c r="Z28" i="14"/>
  <c r="X29" i="14"/>
  <c r="AF23" i="15"/>
  <c r="X52" i="14"/>
  <c r="V28" i="14"/>
  <c r="X51" i="14"/>
  <c r="Y22" i="14"/>
  <c r="X34" i="14"/>
  <c r="Y52" i="14"/>
  <c r="AD23" i="14"/>
  <c r="Z30" i="14"/>
  <c r="X42" i="14"/>
  <c r="V47" i="14"/>
  <c r="Y47" i="14"/>
  <c r="X40" i="14"/>
  <c r="V26" i="14"/>
  <c r="AH11" i="16"/>
  <c r="Z38" i="14"/>
  <c r="AD12" i="14"/>
  <c r="X53" i="14"/>
  <c r="W44" i="14"/>
  <c r="Y26" i="14"/>
  <c r="Y33" i="14"/>
  <c r="V45" i="14"/>
  <c r="Y49" i="14"/>
  <c r="X48" i="14"/>
  <c r="X44" i="14"/>
  <c r="W59" i="14"/>
  <c r="W30" i="14"/>
  <c r="V32" i="14"/>
  <c r="Z51" i="14"/>
  <c r="X56" i="14"/>
  <c r="Z35" i="14"/>
  <c r="Y30" i="14"/>
  <c r="AF12" i="16"/>
  <c r="V51" i="14"/>
  <c r="V37" i="14"/>
  <c r="Y28" i="14"/>
  <c r="Z40" i="14"/>
  <c r="Y48" i="14"/>
  <c r="Y59" i="14"/>
  <c r="C14" i="15"/>
  <c r="Z44" i="14"/>
  <c r="X50" i="14"/>
  <c r="X32" i="14"/>
  <c r="J12" i="15"/>
  <c r="W46" i="14"/>
  <c r="W29" i="14"/>
  <c r="V44" i="14"/>
  <c r="W53" i="14"/>
  <c r="W41" i="14"/>
  <c r="Y41" i="14"/>
  <c r="AF11" i="14"/>
  <c r="Z26" i="14"/>
  <c r="V40" i="14"/>
  <c r="V25" i="14"/>
  <c r="Z46" i="14"/>
  <c r="Z31" i="14"/>
  <c r="AF12" i="17"/>
  <c r="W54" i="14"/>
  <c r="Z48" i="14"/>
  <c r="X54" i="14"/>
  <c r="Z54" i="14"/>
  <c r="Z42" i="14"/>
  <c r="Y40" i="14"/>
  <c r="Y27" i="14"/>
  <c r="X59" i="14"/>
  <c r="Z33" i="14"/>
  <c r="Y38" i="14"/>
  <c r="V57" i="14"/>
  <c r="W40" i="14"/>
  <c r="Z34" i="14"/>
  <c r="W50" i="14"/>
  <c r="V48" i="14"/>
  <c r="V36" i="14"/>
  <c r="Z53" i="14"/>
  <c r="AH23" i="15"/>
  <c r="X39" i="14"/>
  <c r="AF13" i="15"/>
  <c r="W25" i="14"/>
  <c r="V54" i="14"/>
  <c r="X25" i="14"/>
  <c r="V30" i="14"/>
  <c r="X58" i="14"/>
  <c r="AF13" i="16"/>
  <c r="W45" i="14"/>
  <c r="X55" i="14"/>
  <c r="W43" i="14"/>
  <c r="X30" i="14"/>
  <c r="Y29" i="14"/>
  <c r="W37" i="14"/>
  <c r="X37" i="14"/>
  <c r="W56" i="14"/>
  <c r="Y31" i="14"/>
  <c r="X35" i="14"/>
  <c r="V46" i="14"/>
  <c r="W26" i="14"/>
  <c r="Z47" i="14"/>
  <c r="X57" i="14"/>
  <c r="W35" i="14"/>
  <c r="V34" i="14"/>
  <c r="AF23" i="17"/>
  <c r="X22" i="14"/>
  <c r="V52" i="14"/>
  <c r="Y43" i="14"/>
  <c r="V39" i="14"/>
  <c r="X49" i="14"/>
  <c r="Z32" i="14"/>
  <c r="W52" i="14"/>
  <c r="Z41" i="14"/>
  <c r="Z55" i="14"/>
  <c r="W34" i="14"/>
  <c r="Z24" i="14"/>
  <c r="Z45" i="14"/>
  <c r="V35" i="14"/>
  <c r="AH12" i="15"/>
  <c r="V29" i="14"/>
  <c r="X43" i="14"/>
  <c r="X23" i="14"/>
  <c r="V43" i="14"/>
  <c r="V33" i="14"/>
  <c r="Y57" i="14"/>
  <c r="Z37" i="14"/>
  <c r="AH11" i="17"/>
  <c r="J13" i="15"/>
  <c r="V27" i="14"/>
  <c r="W27" i="14"/>
  <c r="Z49" i="14"/>
  <c r="Y42" i="14"/>
  <c r="X28" i="14"/>
  <c r="W47" i="14"/>
  <c r="X36" i="14"/>
  <c r="Z23" i="14"/>
  <c r="W28" i="14"/>
  <c r="V58" i="14"/>
  <c r="AH12" i="17"/>
  <c r="AF13" i="17"/>
  <c r="AH13" i="17"/>
  <c r="AF14" i="17"/>
  <c r="AL12" i="17" l="1"/>
  <c r="AJ12" i="17"/>
  <c r="M10" i="15"/>
  <c r="AL11" i="16"/>
  <c r="AJ11" i="16"/>
  <c r="AL11" i="17"/>
  <c r="AJ11" i="17"/>
  <c r="T43" i="14"/>
  <c r="T28" i="14"/>
  <c r="T53" i="14"/>
  <c r="T38" i="14"/>
  <c r="T27" i="14"/>
  <c r="T47" i="14"/>
  <c r="T50" i="14"/>
  <c r="T37" i="14"/>
  <c r="T33" i="14"/>
  <c r="T30" i="14"/>
  <c r="T41" i="14"/>
  <c r="T55" i="14"/>
  <c r="T48" i="14"/>
  <c r="T31" i="14"/>
  <c r="T23" i="14"/>
  <c r="T44" i="14"/>
  <c r="T40" i="14"/>
  <c r="T25" i="14"/>
  <c r="T56" i="14"/>
  <c r="T45" i="14"/>
  <c r="T36" i="14"/>
  <c r="T34" i="14"/>
  <c r="T54" i="14"/>
  <c r="T39" i="14"/>
  <c r="T58" i="14"/>
  <c r="T22" i="14"/>
  <c r="T52" i="14"/>
  <c r="T57" i="14"/>
  <c r="T49" i="14"/>
  <c r="T35" i="14"/>
  <c r="T51" i="14"/>
  <c r="T24" i="14"/>
  <c r="T26" i="14"/>
  <c r="T29" i="14"/>
  <c r="T32" i="14"/>
  <c r="T42" i="14"/>
  <c r="T46" i="14"/>
  <c r="T59" i="14"/>
  <c r="AL23" i="15"/>
  <c r="AL12" i="15"/>
  <c r="AJ11" i="14"/>
  <c r="AJ12" i="15"/>
  <c r="AH11" i="14"/>
  <c r="AJ13" i="17"/>
  <c r="AL13" i="17"/>
  <c r="AJ23" i="15"/>
  <c r="M11" i="15"/>
  <c r="AH23" i="17"/>
  <c r="T11" i="15"/>
  <c r="J14" i="15"/>
  <c r="AH23" i="16"/>
  <c r="AF14" i="15"/>
  <c r="AH14" i="15" s="1"/>
  <c r="O11" i="15"/>
  <c r="AF14" i="16"/>
  <c r="AF15" i="16" s="1"/>
  <c r="C15" i="15"/>
  <c r="AF12" i="14"/>
  <c r="AF23" i="14"/>
  <c r="S11" i="15"/>
  <c r="AH12" i="16"/>
  <c r="T10" i="15"/>
  <c r="AH13" i="15"/>
  <c r="AH13" i="16"/>
  <c r="O10" i="15"/>
  <c r="AF15" i="17"/>
  <c r="AD13" i="14"/>
  <c r="S10" i="15"/>
  <c r="AH14" i="16"/>
  <c r="N10" i="15"/>
  <c r="AH14" i="17"/>
  <c r="N11" i="15"/>
  <c r="AL23" i="17" l="1"/>
  <c r="AJ23" i="17"/>
  <c r="AL23" i="16"/>
  <c r="AJ23" i="16"/>
  <c r="AL13" i="15"/>
  <c r="AJ13" i="15"/>
  <c r="AL12" i="16"/>
  <c r="AJ12" i="16"/>
  <c r="AJ13" i="16"/>
  <c r="AL13" i="16"/>
  <c r="AJ12" i="14"/>
  <c r="AJ23" i="14"/>
  <c r="AL14" i="15"/>
  <c r="AL14" i="16"/>
  <c r="AH12" i="14"/>
  <c r="AL14" i="17"/>
  <c r="AJ14" i="17"/>
  <c r="AJ14" i="15"/>
  <c r="AJ14" i="16"/>
  <c r="AH23" i="14"/>
  <c r="M12" i="15"/>
  <c r="AF13" i="14"/>
  <c r="C16" i="15"/>
  <c r="AH15" i="17"/>
  <c r="S12" i="15"/>
  <c r="T12" i="15"/>
  <c r="AF16" i="16"/>
  <c r="AH15" i="16"/>
  <c r="O12" i="15"/>
  <c r="AF16" i="17"/>
  <c r="AD14" i="14"/>
  <c r="J15" i="15"/>
  <c r="AF15" i="15"/>
  <c r="N12" i="15"/>
  <c r="AF17" i="17"/>
  <c r="AF16" i="15"/>
  <c r="AH15" i="15"/>
  <c r="AJ13" i="14" l="1"/>
  <c r="AH13" i="14"/>
  <c r="AL15" i="17"/>
  <c r="AJ15" i="17"/>
  <c r="AL15" i="15"/>
  <c r="AL15" i="16"/>
  <c r="AJ15" i="16"/>
  <c r="AJ15" i="15"/>
  <c r="M13" i="15"/>
  <c r="AD15" i="14"/>
  <c r="AF17" i="15"/>
  <c r="AF14" i="14"/>
  <c r="C17" i="15"/>
  <c r="AF17" i="16"/>
  <c r="AH16" i="17"/>
  <c r="J16" i="15"/>
  <c r="AH16" i="16"/>
  <c r="T13" i="15"/>
  <c r="AF15" i="14"/>
  <c r="O13" i="15"/>
  <c r="N13" i="15"/>
  <c r="S13" i="15"/>
  <c r="AH17" i="17"/>
  <c r="AF18" i="17"/>
  <c r="AH16" i="15"/>
  <c r="AL16" i="17" l="1"/>
  <c r="AJ16" i="17"/>
  <c r="AH14" i="14"/>
  <c r="AJ14" i="14"/>
  <c r="AJ15" i="14"/>
  <c r="AH15" i="14"/>
  <c r="AL16" i="16"/>
  <c r="AL16" i="15"/>
  <c r="M14" i="15"/>
  <c r="AJ17" i="17"/>
  <c r="AL17" i="17"/>
  <c r="AJ16" i="16"/>
  <c r="AJ16" i="15"/>
  <c r="AH17" i="16"/>
  <c r="T14" i="15"/>
  <c r="AH17" i="15"/>
  <c r="AF19" i="17"/>
  <c r="AF18" i="15"/>
  <c r="S14" i="15"/>
  <c r="AD16" i="14"/>
  <c r="O14" i="15"/>
  <c r="N14" i="15"/>
  <c r="J17" i="15"/>
  <c r="C18" i="15"/>
  <c r="AH18" i="17"/>
  <c r="AF18" i="16"/>
  <c r="AF16" i="14"/>
  <c r="AD17" i="14"/>
  <c r="AD18" i="14"/>
  <c r="AF17" i="14"/>
  <c r="AJ16" i="14" l="1"/>
  <c r="AH16" i="14"/>
  <c r="AL17" i="15"/>
  <c r="AJ17" i="14"/>
  <c r="AL17" i="16"/>
  <c r="M15" i="15"/>
  <c r="AJ17" i="16"/>
  <c r="AJ17" i="15"/>
  <c r="AH17" i="14"/>
  <c r="AL18" i="17"/>
  <c r="AJ18" i="17"/>
  <c r="AF18" i="14"/>
  <c r="AH18" i="15"/>
  <c r="AH18" i="16"/>
  <c r="AH19" i="17"/>
  <c r="O15" i="15"/>
  <c r="J18" i="15"/>
  <c r="AF20" i="17"/>
  <c r="AF19" i="16"/>
  <c r="T15" i="15"/>
  <c r="S15" i="15"/>
  <c r="AF19" i="15"/>
  <c r="AD19" i="14"/>
  <c r="C19" i="15"/>
  <c r="J19" i="15" s="1"/>
  <c r="N15" i="15"/>
  <c r="M16" i="15" l="1"/>
  <c r="M17" i="15"/>
  <c r="AL18" i="15"/>
  <c r="AL18" i="16"/>
  <c r="AJ18" i="14"/>
  <c r="AL19" i="17"/>
  <c r="AJ19" i="17"/>
  <c r="AJ18" i="15"/>
  <c r="AH18" i="14"/>
  <c r="AJ18" i="16"/>
  <c r="AH19" i="16"/>
  <c r="N17" i="15"/>
  <c r="O17" i="15"/>
  <c r="AD20" i="14"/>
  <c r="AH20" i="17"/>
  <c r="C20" i="15"/>
  <c r="O16" i="15"/>
  <c r="N16" i="15"/>
  <c r="AH19" i="15"/>
  <c r="S16" i="15"/>
  <c r="S17" i="15"/>
  <c r="C21" i="15"/>
  <c r="C22" i="15" s="1"/>
  <c r="C23" i="15" s="1"/>
  <c r="AF20" i="15"/>
  <c r="J20" i="15"/>
  <c r="AF21" i="17"/>
  <c r="AF19" i="14"/>
  <c r="J21" i="15"/>
  <c r="J22" i="15"/>
  <c r="AF20" i="16"/>
  <c r="T16" i="15"/>
  <c r="T17" i="15"/>
  <c r="J23" i="15"/>
  <c r="C24" i="15"/>
  <c r="M19" i="15" l="1"/>
  <c r="M18" i="15"/>
  <c r="M20" i="15"/>
  <c r="AL19" i="16"/>
  <c r="AL19" i="15"/>
  <c r="AJ19" i="14"/>
  <c r="AJ19" i="16"/>
  <c r="AH19" i="14"/>
  <c r="AJ19" i="15"/>
  <c r="AL20" i="17"/>
  <c r="AJ20" i="17"/>
  <c r="M21" i="15"/>
  <c r="AH21" i="17"/>
  <c r="T18" i="15"/>
  <c r="AF21" i="15"/>
  <c r="AF21" i="16"/>
  <c r="S18" i="15"/>
  <c r="N21" i="15"/>
  <c r="T19" i="15"/>
  <c r="O21" i="15"/>
  <c r="N18" i="15"/>
  <c r="S20" i="15"/>
  <c r="S21" i="15"/>
  <c r="N20" i="15"/>
  <c r="O20" i="15"/>
  <c r="T20" i="15"/>
  <c r="AF22" i="17"/>
  <c r="O18" i="15"/>
  <c r="N19" i="15"/>
  <c r="AD21" i="14"/>
  <c r="C25" i="15"/>
  <c r="AH20" i="16"/>
  <c r="O19" i="15"/>
  <c r="AH20" i="15"/>
  <c r="S19" i="15"/>
  <c r="T21" i="15"/>
  <c r="AF20" i="14"/>
  <c r="AL20" i="16" l="1"/>
  <c r="AL20" i="15"/>
  <c r="AJ20" i="14"/>
  <c r="AJ20" i="15"/>
  <c r="AH20" i="14"/>
  <c r="AJ21" i="17"/>
  <c r="AL21" i="17"/>
  <c r="AJ20" i="16"/>
  <c r="M22" i="15"/>
  <c r="AH22" i="17"/>
  <c r="C26" i="15"/>
  <c r="N22" i="15"/>
  <c r="AD22" i="14"/>
  <c r="AH21" i="16"/>
  <c r="AF22" i="16"/>
  <c r="O22" i="15"/>
  <c r="AF22" i="15"/>
  <c r="S22" i="15"/>
  <c r="T22" i="15"/>
  <c r="AH21" i="15"/>
  <c r="AF21" i="14"/>
  <c r="AJ21" i="14" l="1"/>
  <c r="AL21" i="15"/>
  <c r="AL21" i="16"/>
  <c r="AL22" i="17"/>
  <c r="AJ22" i="17"/>
  <c r="AJ21" i="16"/>
  <c r="AJ21" i="15"/>
  <c r="AH21" i="14"/>
  <c r="M23" i="15"/>
  <c r="T23" i="15"/>
  <c r="S23" i="15"/>
  <c r="O23" i="15"/>
  <c r="AF22" i="14"/>
  <c r="N23" i="15"/>
  <c r="AH22" i="16"/>
  <c r="AH22" i="15"/>
  <c r="AL22" i="16" l="1"/>
  <c r="AL22" i="15"/>
  <c r="AJ22" i="14"/>
  <c r="AH22" i="14"/>
  <c r="AJ22" i="16"/>
  <c r="AJ22" i="15"/>
  <c r="M24" i="15"/>
  <c r="Z10" i="14"/>
  <c r="V5" i="14"/>
  <c r="V17" i="14"/>
  <c r="X3" i="14"/>
  <c r="Y15" i="14"/>
  <c r="W8" i="14"/>
  <c r="V16" i="14"/>
  <c r="V4" i="14"/>
  <c r="Y17" i="14"/>
  <c r="V21" i="14"/>
  <c r="W5" i="14"/>
  <c r="Y13" i="14"/>
  <c r="Z6" i="14"/>
  <c r="X20" i="14"/>
  <c r="X11" i="14"/>
  <c r="Z17" i="14"/>
  <c r="Z21" i="14"/>
  <c r="Y20" i="14"/>
  <c r="Z14" i="14"/>
  <c r="X10" i="14"/>
  <c r="Y18" i="14"/>
  <c r="W11" i="14"/>
  <c r="Y16" i="14"/>
  <c r="X18" i="14"/>
  <c r="Y9" i="14"/>
  <c r="Y10" i="14"/>
  <c r="W16" i="14"/>
  <c r="Y5" i="14"/>
  <c r="Z12" i="14"/>
  <c r="V10" i="14"/>
  <c r="Y21" i="14"/>
  <c r="V13" i="14"/>
  <c r="V8" i="14"/>
  <c r="V9" i="14"/>
  <c r="X12" i="14"/>
  <c r="V15" i="14"/>
  <c r="X14" i="14"/>
  <c r="W19" i="14"/>
  <c r="X13" i="14"/>
  <c r="Z20" i="14"/>
  <c r="Y19" i="14"/>
  <c r="Z15" i="14"/>
  <c r="V18" i="14"/>
  <c r="Z18" i="14"/>
  <c r="W9" i="14"/>
  <c r="Z11" i="14"/>
  <c r="V14" i="14"/>
  <c r="W13" i="14"/>
  <c r="X17" i="14"/>
  <c r="V20" i="14"/>
  <c r="V6" i="14"/>
  <c r="V19" i="14"/>
  <c r="Z7" i="14"/>
  <c r="Y14" i="14"/>
  <c r="X6" i="14"/>
  <c r="W17" i="14"/>
  <c r="T24" i="15"/>
  <c r="W21" i="14"/>
  <c r="W3" i="14"/>
  <c r="Y3" i="14"/>
  <c r="N24" i="15"/>
  <c r="V12" i="14"/>
  <c r="W18" i="14"/>
  <c r="Z16" i="14"/>
  <c r="Y4" i="14"/>
  <c r="V3" i="14"/>
  <c r="Y12" i="14"/>
  <c r="Y11" i="14"/>
  <c r="Y6" i="14"/>
  <c r="Z4" i="14"/>
  <c r="W12" i="14"/>
  <c r="Z8" i="14"/>
  <c r="Z3" i="14"/>
  <c r="V11" i="14"/>
  <c r="X19" i="14"/>
  <c r="W6" i="14"/>
  <c r="Y8" i="14"/>
  <c r="Z5" i="14"/>
  <c r="Y7" i="14"/>
  <c r="X4" i="14"/>
  <c r="X8" i="14"/>
  <c r="X9" i="14"/>
  <c r="Z9" i="14"/>
  <c r="V7" i="14"/>
  <c r="O24" i="15"/>
  <c r="X5" i="14"/>
  <c r="W20" i="14"/>
  <c r="X15" i="14"/>
  <c r="W7" i="14"/>
  <c r="S24" i="15"/>
  <c r="W10" i="14"/>
  <c r="W15" i="14"/>
  <c r="X16" i="14"/>
  <c r="X21" i="14"/>
  <c r="W14" i="14"/>
  <c r="Z13" i="14"/>
  <c r="Z19" i="14"/>
  <c r="W4" i="14"/>
  <c r="X7" i="14"/>
  <c r="T13" i="14" l="1"/>
  <c r="T21" i="14"/>
  <c r="T14" i="14"/>
  <c r="T16" i="14"/>
  <c r="T15" i="14"/>
  <c r="T20" i="14"/>
  <c r="T8" i="14"/>
  <c r="T6" i="14"/>
  <c r="T17" i="14"/>
  <c r="T12" i="14"/>
  <c r="T19" i="14"/>
  <c r="T5" i="14"/>
  <c r="T9" i="14"/>
  <c r="T7" i="14"/>
  <c r="T10" i="14"/>
  <c r="T18" i="14"/>
  <c r="T11" i="14"/>
  <c r="T4" i="14"/>
  <c r="T3" i="14"/>
  <c r="D13" i="1"/>
  <c r="C22" i="1"/>
  <c r="C21" i="1"/>
  <c r="D14" i="1"/>
  <c r="D21" i="1"/>
  <c r="D22" i="1"/>
  <c r="AA2" i="14" a="1"/>
  <c r="AA24" i="14" l="1"/>
  <c r="AA9" i="14"/>
  <c r="AA25" i="14"/>
  <c r="AA35" i="14"/>
  <c r="AA44" i="14"/>
  <c r="AA22" i="14"/>
  <c r="AA29" i="14"/>
  <c r="AA57" i="14"/>
  <c r="AA10" i="14"/>
  <c r="AA27" i="14"/>
  <c r="AA36" i="14"/>
  <c r="AA53" i="14"/>
  <c r="AA31" i="14"/>
  <c r="AA38" i="14"/>
  <c r="AA49" i="14"/>
  <c r="AA11" i="14"/>
  <c r="AA28" i="14"/>
  <c r="AA45" i="14"/>
  <c r="AA7" i="14"/>
  <c r="AA40" i="14"/>
  <c r="AA47" i="14"/>
  <c r="AA59" i="14"/>
  <c r="AA12" i="14"/>
  <c r="AA37" i="14"/>
  <c r="AA54" i="14"/>
  <c r="AA16" i="14"/>
  <c r="AA26" i="14"/>
  <c r="AA56" i="14"/>
  <c r="AA51" i="14"/>
  <c r="AA21" i="14"/>
  <c r="AA46" i="14"/>
  <c r="AA8" i="14"/>
  <c r="AA17" i="14"/>
  <c r="AA14" i="14"/>
  <c r="AA55" i="14"/>
  <c r="AA3" i="14"/>
  <c r="AA18" i="14"/>
  <c r="AA6" i="14"/>
  <c r="AA33" i="14"/>
  <c r="AA4" i="14"/>
  <c r="AA15" i="14"/>
  <c r="AA34" i="14"/>
  <c r="AA20" i="14"/>
  <c r="AA58" i="14"/>
  <c r="AA50" i="14"/>
  <c r="AA5" i="14"/>
  <c r="AA2" i="14"/>
  <c r="AA52" i="14"/>
  <c r="AA41" i="14"/>
  <c r="AA23" i="14"/>
  <c r="AA42" i="14"/>
  <c r="AA19" i="14"/>
  <c r="AA48" i="14"/>
  <c r="AA43" i="14"/>
  <c r="AA13" i="14"/>
  <c r="AA30" i="14"/>
  <c r="AA39" i="14"/>
  <c r="AA32" i="14"/>
  <c r="Y15" i="16"/>
  <c r="X11" i="16"/>
  <c r="AA31" i="16"/>
  <c r="AA13" i="16"/>
  <c r="Y10" i="16"/>
  <c r="AB19" i="16"/>
  <c r="X12" i="16"/>
  <c r="AA37" i="16"/>
  <c r="AB28" i="16"/>
  <c r="AA23" i="16"/>
  <c r="X28" i="16"/>
  <c r="X35" i="16"/>
  <c r="AB20" i="16"/>
  <c r="AB23" i="16"/>
  <c r="Z30" i="16"/>
  <c r="AB37" i="16"/>
  <c r="AA11" i="16"/>
  <c r="X39" i="16"/>
  <c r="Y7" i="16"/>
  <c r="Z3" i="16"/>
  <c r="AB13" i="16"/>
  <c r="AA15" i="16"/>
  <c r="Z34" i="16"/>
  <c r="X18" i="16"/>
  <c r="Z28" i="16"/>
  <c r="AB9" i="16"/>
  <c r="AB15" i="16"/>
  <c r="Y21" i="16"/>
  <c r="Z8" i="16"/>
  <c r="AA30" i="16"/>
  <c r="Z10" i="16"/>
  <c r="X8" i="16"/>
  <c r="AA3" i="16"/>
  <c r="Y24" i="16"/>
  <c r="AA8" i="16"/>
  <c r="Z22" i="16"/>
  <c r="Y27" i="16"/>
  <c r="AB10" i="16"/>
  <c r="Y25" i="16"/>
  <c r="AB33" i="16"/>
  <c r="Z27" i="16"/>
  <c r="X16" i="16"/>
  <c r="X17" i="16"/>
  <c r="Y23" i="16"/>
  <c r="AB36" i="16"/>
  <c r="Z37" i="16"/>
  <c r="Z14" i="16"/>
  <c r="Y38" i="16"/>
  <c r="X31" i="16"/>
  <c r="Z35" i="16"/>
  <c r="AB39" i="16"/>
  <c r="AB12" i="16"/>
  <c r="Y12" i="16"/>
  <c r="Z24" i="16"/>
  <c r="X13" i="16"/>
  <c r="Y14" i="16"/>
  <c r="Z7" i="16"/>
  <c r="AB4" i="16"/>
  <c r="Y18" i="16"/>
  <c r="AB34" i="16"/>
  <c r="Y22" i="16"/>
  <c r="Z38" i="16"/>
  <c r="Y13" i="16"/>
  <c r="Z33" i="16"/>
  <c r="AB7" i="16"/>
  <c r="X20" i="16"/>
  <c r="Y37" i="16"/>
  <c r="AA22" i="16"/>
  <c r="X5" i="16"/>
  <c r="Z13" i="16"/>
  <c r="X26" i="16"/>
  <c r="Y17" i="16"/>
  <c r="AA12" i="16"/>
  <c r="Z36" i="16"/>
  <c r="AA25" i="16"/>
  <c r="AB32" i="16"/>
  <c r="AB38" i="16"/>
  <c r="X7" i="16"/>
  <c r="AA29" i="16"/>
  <c r="X32" i="16"/>
  <c r="Y9" i="16"/>
  <c r="AA6" i="16"/>
  <c r="X6" i="16"/>
  <c r="AA27" i="16"/>
  <c r="Y20" i="16"/>
  <c r="X33" i="16"/>
  <c r="AA39" i="16"/>
  <c r="Z17" i="16"/>
  <c r="X34" i="16"/>
  <c r="Z29" i="16"/>
  <c r="AB16" i="16"/>
  <c r="X3" i="16"/>
  <c r="Y33" i="16"/>
  <c r="Z15" i="16"/>
  <c r="Z16" i="16"/>
  <c r="AA14" i="16"/>
  <c r="Y19" i="16"/>
  <c r="AB17" i="16"/>
  <c r="X22" i="16"/>
  <c r="AA5" i="16"/>
  <c r="Y26" i="16"/>
  <c r="AB35" i="16"/>
  <c r="AA32" i="16"/>
  <c r="Z25" i="16"/>
  <c r="Y16" i="16"/>
  <c r="AB5" i="16"/>
  <c r="Z6" i="16"/>
  <c r="AB29" i="16"/>
  <c r="AA35" i="16"/>
  <c r="X10" i="16"/>
  <c r="AA24" i="16"/>
  <c r="Z9" i="16"/>
  <c r="Y30" i="16"/>
  <c r="Z21" i="16"/>
  <c r="AB14" i="16"/>
  <c r="Z20" i="16"/>
  <c r="X29" i="16"/>
  <c r="Y3" i="16"/>
  <c r="X19" i="16"/>
  <c r="Z11" i="16"/>
  <c r="X24" i="16"/>
  <c r="AA19" i="16"/>
  <c r="Y31" i="16"/>
  <c r="X25" i="16"/>
  <c r="AB3" i="16"/>
  <c r="AB30" i="16"/>
  <c r="Z5" i="16"/>
  <c r="AA9" i="16"/>
  <c r="Y35" i="16"/>
  <c r="Z39" i="16"/>
  <c r="AA33" i="16"/>
  <c r="Y6" i="16"/>
  <c r="Y8" i="16"/>
  <c r="Y28" i="16"/>
  <c r="X14" i="16"/>
  <c r="Y4" i="16"/>
  <c r="AB8" i="16"/>
  <c r="AB26" i="16"/>
  <c r="Y29" i="16"/>
  <c r="Z23" i="16"/>
  <c r="AA17" i="16"/>
  <c r="Y34" i="16"/>
  <c r="AB21" i="16"/>
  <c r="AB31" i="16"/>
  <c r="Z18" i="16"/>
  <c r="AB24" i="16"/>
  <c r="X4" i="16"/>
  <c r="Z26" i="16"/>
  <c r="Y36" i="16"/>
  <c r="X9" i="16"/>
  <c r="Z4" i="16"/>
  <c r="Y32" i="16"/>
  <c r="AB11" i="16"/>
  <c r="AA10" i="16"/>
  <c r="Y5" i="16"/>
  <c r="X23" i="16"/>
  <c r="AB22" i="16"/>
  <c r="AA26" i="16"/>
  <c r="AA16" i="16"/>
  <c r="AA20" i="16"/>
  <c r="AA28" i="16"/>
  <c r="AA7" i="16"/>
  <c r="X37" i="16"/>
  <c r="AA34" i="16"/>
  <c r="X15" i="16"/>
  <c r="AB27" i="16"/>
  <c r="AB25" i="16"/>
  <c r="AA36" i="16"/>
  <c r="AA18" i="16"/>
  <c r="Y39" i="16"/>
  <c r="Z12" i="16"/>
  <c r="Z32" i="16"/>
  <c r="X27" i="16"/>
  <c r="X21" i="16"/>
  <c r="Z31" i="16"/>
  <c r="X30" i="16"/>
  <c r="AB6" i="16"/>
  <c r="Y11" i="16"/>
  <c r="AA21" i="16"/>
  <c r="X38" i="16"/>
  <c r="X36" i="16"/>
  <c r="Z19" i="16"/>
  <c r="AB18" i="16"/>
  <c r="AA4" i="16"/>
  <c r="AA38" i="16"/>
  <c r="V15" i="16" l="1"/>
  <c r="V31" i="16"/>
  <c r="V10" i="16"/>
  <c r="V33" i="16"/>
  <c r="V3" i="16"/>
  <c r="V16" i="16"/>
  <c r="V23" i="16"/>
  <c r="V6" i="16"/>
  <c r="V8" i="16"/>
  <c r="V38" i="16"/>
  <c r="V29" i="16"/>
  <c r="V34" i="16"/>
  <c r="V7" i="16"/>
  <c r="V36" i="16"/>
  <c r="V13" i="16"/>
  <c r="V4" i="16"/>
  <c r="V5" i="16"/>
  <c r="V21" i="16"/>
  <c r="V25" i="16"/>
  <c r="V19" i="16"/>
  <c r="V28" i="16"/>
  <c r="V17" i="16"/>
  <c r="V9" i="16"/>
  <c r="V30" i="16"/>
  <c r="V39" i="16"/>
  <c r="V26" i="16"/>
  <c r="V22" i="16"/>
  <c r="V14" i="16"/>
  <c r="V20" i="16"/>
  <c r="V24" i="16"/>
  <c r="V37" i="16"/>
  <c r="V35" i="16"/>
  <c r="V32" i="16"/>
  <c r="V11" i="16"/>
  <c r="V12" i="16"/>
  <c r="V27" i="16"/>
  <c r="V18" i="16"/>
  <c r="D28" i="1"/>
  <c r="D29" i="1" s="1"/>
  <c r="C37" i="1"/>
  <c r="C36" i="1"/>
  <c r="H38" i="1" l="1"/>
  <c r="AC2" i="16" a="1"/>
  <c r="D36" i="1"/>
  <c r="D37" i="1"/>
  <c r="AC28" i="16" l="1"/>
  <c r="AC33" i="16"/>
  <c r="AC38" i="16"/>
  <c r="AC4" i="16"/>
  <c r="AC9" i="16"/>
  <c r="AC14" i="16"/>
  <c r="AC19" i="16"/>
  <c r="AC24" i="16"/>
  <c r="AC29" i="16"/>
  <c r="AC34" i="16"/>
  <c r="AC39" i="16"/>
  <c r="AC5" i="16"/>
  <c r="AC10" i="16"/>
  <c r="AC15" i="16"/>
  <c r="AC20" i="16"/>
  <c r="AC25" i="16"/>
  <c r="AC30" i="16"/>
  <c r="AC35" i="16"/>
  <c r="AC26" i="16"/>
  <c r="AC6" i="16"/>
  <c r="AC11" i="16"/>
  <c r="AC16" i="16"/>
  <c r="AC21" i="16"/>
  <c r="AC12" i="16"/>
  <c r="AC31" i="16"/>
  <c r="AC36" i="16"/>
  <c r="AC2" i="16"/>
  <c r="AC7" i="16"/>
  <c r="AC37" i="16"/>
  <c r="AC17" i="16"/>
  <c r="AC22" i="16"/>
  <c r="AC27" i="16"/>
  <c r="AC32" i="16"/>
  <c r="AC23" i="16"/>
  <c r="AC3" i="16"/>
  <c r="AC8" i="16"/>
  <c r="AC13" i="16"/>
  <c r="AC18" i="16"/>
  <c r="H23" i="1"/>
  <c r="C38" i="1"/>
  <c r="C23" i="1"/>
  <c r="D38" i="1"/>
  <c r="D23" i="1"/>
  <c r="W3" i="15" l="1" a="1"/>
  <c r="W3" i="17" a="1"/>
  <c r="W32" i="17" l="1"/>
  <c r="W17" i="17"/>
  <c r="W26" i="17"/>
  <c r="W7" i="17"/>
  <c r="W14" i="17"/>
  <c r="W6" i="17"/>
  <c r="W13" i="17"/>
  <c r="W16" i="17"/>
  <c r="W25" i="17"/>
  <c r="W30" i="17"/>
  <c r="W23" i="17"/>
  <c r="W18" i="17"/>
  <c r="W5" i="17"/>
  <c r="W15" i="17"/>
  <c r="W21" i="17"/>
  <c r="W24" i="17"/>
  <c r="W19" i="17"/>
  <c r="W8" i="17"/>
  <c r="W9" i="17"/>
  <c r="W4" i="17"/>
  <c r="W27" i="17"/>
  <c r="W10" i="17"/>
  <c r="W29" i="17"/>
  <c r="W28" i="17"/>
  <c r="W20" i="17"/>
  <c r="W31" i="17"/>
  <c r="W3" i="17"/>
  <c r="W22" i="17"/>
  <c r="W12" i="17"/>
  <c r="W11" i="17"/>
  <c r="W23" i="15"/>
  <c r="W43" i="15"/>
  <c r="W46" i="15"/>
  <c r="W8" i="15"/>
  <c r="W32" i="15"/>
  <c r="W21" i="15"/>
  <c r="W13" i="15"/>
  <c r="W4" i="15"/>
  <c r="W49" i="15"/>
  <c r="W44" i="15"/>
  <c r="W18" i="15"/>
  <c r="W14" i="15"/>
  <c r="W34" i="15"/>
  <c r="W30" i="15"/>
  <c r="W33" i="15"/>
  <c r="W19" i="15"/>
  <c r="W51" i="15"/>
  <c r="W42" i="15"/>
  <c r="W3" i="15"/>
  <c r="W41" i="15"/>
  <c r="W29" i="15"/>
  <c r="W7" i="15"/>
  <c r="W28" i="15"/>
  <c r="W27" i="15"/>
  <c r="W20" i="15"/>
  <c r="W5" i="15"/>
  <c r="W39" i="15"/>
  <c r="W38" i="15"/>
  <c r="W45" i="15"/>
  <c r="W47" i="15"/>
  <c r="W17" i="15"/>
  <c r="W37" i="15"/>
  <c r="W36" i="15"/>
  <c r="W10" i="15"/>
  <c r="W26" i="15"/>
  <c r="W35" i="15"/>
  <c r="W48" i="15"/>
  <c r="W15" i="15"/>
  <c r="W6" i="15"/>
  <c r="W9" i="15"/>
  <c r="W40" i="15"/>
  <c r="W22" i="15"/>
  <c r="W25" i="15"/>
  <c r="W16" i="15"/>
  <c r="W24" i="15"/>
  <c r="W50" i="15"/>
  <c r="W11" i="15"/>
  <c r="W12" i="15"/>
  <c r="W31" i="15"/>
  <c r="X32" i="17"/>
  <c r="AB32" i="17"/>
  <c r="Y32" i="17"/>
  <c r="AA32" i="17"/>
  <c r="Z32" i="17"/>
  <c r="X25" i="17"/>
  <c r="AB25" i="17"/>
  <c r="Y25" i="17"/>
  <c r="Z25" i="17"/>
  <c r="AA25" i="17"/>
  <c r="Y19" i="17"/>
  <c r="AA19" i="17"/>
  <c r="AB19" i="17"/>
  <c r="X19" i="17"/>
  <c r="Z19" i="17"/>
  <c r="Y20" i="17"/>
  <c r="AB20" i="17"/>
  <c r="X20" i="17"/>
  <c r="AA20" i="17"/>
  <c r="Z20" i="17"/>
  <c r="AB46" i="15"/>
  <c r="X46" i="15"/>
  <c r="Z46" i="15"/>
  <c r="Y46" i="15"/>
  <c r="AA46" i="15"/>
  <c r="X18" i="15"/>
  <c r="AB18" i="15"/>
  <c r="Y18" i="15"/>
  <c r="AA18" i="15"/>
  <c r="Z18" i="15"/>
  <c r="X3" i="15"/>
  <c r="AA3" i="15"/>
  <c r="Y3" i="15"/>
  <c r="Z3" i="15"/>
  <c r="AB3" i="15"/>
  <c r="Y39" i="15"/>
  <c r="X39" i="15"/>
  <c r="AB39" i="15"/>
  <c r="Z39" i="15"/>
  <c r="AA39" i="15"/>
  <c r="Z26" i="15"/>
  <c r="X26" i="15"/>
  <c r="Y26" i="15"/>
  <c r="AA26" i="15"/>
  <c r="AB26" i="15"/>
  <c r="AB25" i="15"/>
  <c r="Z25" i="15"/>
  <c r="X25" i="15"/>
  <c r="AA25" i="15"/>
  <c r="Y25" i="15"/>
  <c r="X4" i="17"/>
  <c r="Z4" i="17"/>
  <c r="Y4" i="17"/>
  <c r="AA4" i="17"/>
  <c r="AB4" i="17"/>
  <c r="Z16" i="17"/>
  <c r="AA16" i="17"/>
  <c r="AB16" i="17"/>
  <c r="X16" i="17"/>
  <c r="Y16" i="17"/>
  <c r="X17" i="17"/>
  <c r="Y17" i="17"/>
  <c r="AA17" i="17"/>
  <c r="AB17" i="17"/>
  <c r="Z17" i="17"/>
  <c r="AA30" i="17"/>
  <c r="AB30" i="17"/>
  <c r="Y30" i="17"/>
  <c r="X30" i="17"/>
  <c r="Z30" i="17"/>
  <c r="AA8" i="17"/>
  <c r="AB8" i="17"/>
  <c r="Y8" i="17"/>
  <c r="X8" i="17"/>
  <c r="Z8" i="17"/>
  <c r="Z31" i="17"/>
  <c r="X31" i="17"/>
  <c r="AA31" i="17"/>
  <c r="Y31" i="17"/>
  <c r="AB31" i="17"/>
  <c r="AA8" i="15"/>
  <c r="Z8" i="15"/>
  <c r="Y8" i="15"/>
  <c r="AB8" i="15"/>
  <c r="X8" i="15"/>
  <c r="AB14" i="15"/>
  <c r="Z14" i="15"/>
  <c r="Y14" i="15"/>
  <c r="X14" i="15"/>
  <c r="AA14" i="15"/>
  <c r="Z41" i="15"/>
  <c r="AB41" i="15"/>
  <c r="AA41" i="15"/>
  <c r="X41" i="15"/>
  <c r="Y41" i="15"/>
  <c r="Z38" i="15"/>
  <c r="X38" i="15"/>
  <c r="AA38" i="15"/>
  <c r="AB38" i="15"/>
  <c r="Y38" i="15"/>
  <c r="Y35" i="15"/>
  <c r="Z35" i="15"/>
  <c r="AA35" i="15"/>
  <c r="AB35" i="15"/>
  <c r="X35" i="15"/>
  <c r="AB16" i="15"/>
  <c r="AA16" i="15"/>
  <c r="Z16" i="15"/>
  <c r="Y16" i="15"/>
  <c r="X16" i="15"/>
  <c r="AB18" i="17"/>
  <c r="Z18" i="17"/>
  <c r="Y18" i="17"/>
  <c r="X18" i="17"/>
  <c r="AA18" i="17"/>
  <c r="AA22" i="17"/>
  <c r="Z22" i="17"/>
  <c r="AB22" i="17"/>
  <c r="X22" i="17"/>
  <c r="Y22" i="17"/>
  <c r="Y21" i="15"/>
  <c r="AB21" i="15"/>
  <c r="X21" i="15"/>
  <c r="AA21" i="15"/>
  <c r="Z21" i="15"/>
  <c r="Z7" i="15"/>
  <c r="X7" i="15"/>
  <c r="AA7" i="15"/>
  <c r="Y7" i="15"/>
  <c r="AB7" i="15"/>
  <c r="Z47" i="15"/>
  <c r="Y47" i="15"/>
  <c r="AA47" i="15"/>
  <c r="X47" i="15"/>
  <c r="AB47" i="15"/>
  <c r="X15" i="15"/>
  <c r="AA15" i="15"/>
  <c r="Y15" i="15"/>
  <c r="AB15" i="15"/>
  <c r="Z15" i="15"/>
  <c r="Z9" i="15"/>
  <c r="AA9" i="15"/>
  <c r="AB9" i="15"/>
  <c r="X9" i="15"/>
  <c r="Y9" i="15"/>
  <c r="Y13" i="17"/>
  <c r="AB13" i="17"/>
  <c r="X13" i="17"/>
  <c r="Z13" i="17"/>
  <c r="AA13" i="17"/>
  <c r="AA20" i="15"/>
  <c r="Z20" i="15"/>
  <c r="X20" i="15"/>
  <c r="Y20" i="15"/>
  <c r="AB20" i="15"/>
  <c r="X31" i="15"/>
  <c r="Z31" i="15"/>
  <c r="AB31" i="15"/>
  <c r="Y31" i="15"/>
  <c r="AA31" i="15"/>
  <c r="AB28" i="17"/>
  <c r="Y28" i="17"/>
  <c r="AA28" i="17"/>
  <c r="X28" i="17"/>
  <c r="Z28" i="17"/>
  <c r="Z5" i="15"/>
  <c r="Y5" i="15"/>
  <c r="AA5" i="15"/>
  <c r="X5" i="15"/>
  <c r="AB5" i="15"/>
  <c r="AA26" i="17"/>
  <c r="Y26" i="17"/>
  <c r="X26" i="17"/>
  <c r="Z26" i="17"/>
  <c r="AB26" i="17"/>
  <c r="X23" i="17"/>
  <c r="AA23" i="17"/>
  <c r="Y23" i="17"/>
  <c r="AB23" i="17"/>
  <c r="Z23" i="17"/>
  <c r="X9" i="17"/>
  <c r="AB9" i="17"/>
  <c r="AA9" i="17"/>
  <c r="Y9" i="17"/>
  <c r="Z9" i="17"/>
  <c r="X3" i="17"/>
  <c r="Y3" i="17"/>
  <c r="AA3" i="17"/>
  <c r="AB3" i="17"/>
  <c r="Z3" i="17"/>
  <c r="Z32" i="15"/>
  <c r="X32" i="15"/>
  <c r="AB32" i="15"/>
  <c r="Y32" i="15"/>
  <c r="AA32" i="15"/>
  <c r="Y34" i="15"/>
  <c r="AB34" i="15"/>
  <c r="Z34" i="15"/>
  <c r="AA34" i="15"/>
  <c r="X34" i="15"/>
  <c r="Y29" i="15"/>
  <c r="AB29" i="15"/>
  <c r="AA29" i="15"/>
  <c r="X29" i="15"/>
  <c r="Z29" i="15"/>
  <c r="AB45" i="15"/>
  <c r="AA45" i="15"/>
  <c r="X45" i="15"/>
  <c r="Z45" i="15"/>
  <c r="Y45" i="15"/>
  <c r="AA48" i="15"/>
  <c r="X48" i="15"/>
  <c r="Z48" i="15"/>
  <c r="AB48" i="15"/>
  <c r="Y48" i="15"/>
  <c r="AA24" i="15"/>
  <c r="Z24" i="15"/>
  <c r="AB24" i="15"/>
  <c r="Y24" i="15"/>
  <c r="X24" i="15"/>
  <c r="X7" i="17"/>
  <c r="AA7" i="17"/>
  <c r="Z7" i="17"/>
  <c r="AB7" i="17"/>
  <c r="Y7" i="17"/>
  <c r="AA30" i="15"/>
  <c r="Y30" i="15"/>
  <c r="X30" i="15"/>
  <c r="AB30" i="15"/>
  <c r="Z30" i="15"/>
  <c r="AB50" i="15"/>
  <c r="AA50" i="15"/>
  <c r="Y50" i="15"/>
  <c r="X50" i="15"/>
  <c r="Z50" i="15"/>
  <c r="AA21" i="17"/>
  <c r="AB21" i="17"/>
  <c r="Y21" i="17"/>
  <c r="X21" i="17"/>
  <c r="Z21" i="17"/>
  <c r="X49" i="15"/>
  <c r="Z49" i="15"/>
  <c r="Y49" i="15"/>
  <c r="AB49" i="15"/>
  <c r="AA49" i="15"/>
  <c r="X40" i="15"/>
  <c r="Z40" i="15"/>
  <c r="AB40" i="15"/>
  <c r="AA40" i="15"/>
  <c r="Y40" i="15"/>
  <c r="Z24" i="17"/>
  <c r="AB24" i="17"/>
  <c r="X24" i="17"/>
  <c r="AA24" i="17"/>
  <c r="Y24" i="17"/>
  <c r="X44" i="15"/>
  <c r="AA44" i="15"/>
  <c r="Z44" i="15"/>
  <c r="AB44" i="15"/>
  <c r="Y44" i="15"/>
  <c r="AB14" i="17"/>
  <c r="Z14" i="17"/>
  <c r="AA14" i="17"/>
  <c r="Y14" i="17"/>
  <c r="X14" i="17"/>
  <c r="AB5" i="17"/>
  <c r="Y5" i="17"/>
  <c r="Z5" i="17"/>
  <c r="X5" i="17"/>
  <c r="AA5" i="17"/>
  <c r="Y27" i="17"/>
  <c r="AA27" i="17"/>
  <c r="X27" i="17"/>
  <c r="AB27" i="17"/>
  <c r="Z27" i="17"/>
  <c r="AB12" i="17"/>
  <c r="Z12" i="17"/>
  <c r="Y12" i="17"/>
  <c r="AA12" i="17"/>
  <c r="X12" i="17"/>
  <c r="Z13" i="15"/>
  <c r="Y13" i="15"/>
  <c r="AB13" i="15"/>
  <c r="X13" i="15"/>
  <c r="AA13" i="15"/>
  <c r="Z33" i="15"/>
  <c r="AB33" i="15"/>
  <c r="X33" i="15"/>
  <c r="Y33" i="15"/>
  <c r="AA33" i="15"/>
  <c r="X28" i="15"/>
  <c r="Z28" i="15"/>
  <c r="AB28" i="15"/>
  <c r="Y28" i="15"/>
  <c r="AA28" i="15"/>
  <c r="AB17" i="15"/>
  <c r="AA17" i="15"/>
  <c r="Z17" i="15"/>
  <c r="X17" i="15"/>
  <c r="Y17" i="15"/>
  <c r="AA6" i="15"/>
  <c r="X6" i="15"/>
  <c r="AB6" i="15"/>
  <c r="Z6" i="15"/>
  <c r="Y6" i="15"/>
  <c r="AB11" i="15"/>
  <c r="Y11" i="15"/>
  <c r="X11" i="15"/>
  <c r="Z11" i="15"/>
  <c r="AA11" i="15"/>
  <c r="Z6" i="17"/>
  <c r="AA6" i="17"/>
  <c r="X6" i="17"/>
  <c r="Y6" i="17"/>
  <c r="AB6" i="17"/>
  <c r="AB15" i="17"/>
  <c r="X15" i="17"/>
  <c r="Z15" i="17"/>
  <c r="Y15" i="17"/>
  <c r="AA15" i="17"/>
  <c r="Y10" i="17"/>
  <c r="AA10" i="17"/>
  <c r="Z10" i="17"/>
  <c r="X10" i="17"/>
  <c r="AB10" i="17"/>
  <c r="AB11" i="17"/>
  <c r="X11" i="17"/>
  <c r="Y11" i="17"/>
  <c r="Z11" i="17"/>
  <c r="AA11" i="17"/>
  <c r="Y4" i="15"/>
  <c r="AB4" i="15"/>
  <c r="Z4" i="15"/>
  <c r="AA4" i="15"/>
  <c r="X4" i="15"/>
  <c r="Y19" i="15"/>
  <c r="AB19" i="15"/>
  <c r="Z19" i="15"/>
  <c r="X19" i="15"/>
  <c r="AA19" i="15"/>
  <c r="AA27" i="15"/>
  <c r="X27" i="15"/>
  <c r="AB27" i="15"/>
  <c r="Y27" i="15"/>
  <c r="Z27" i="15"/>
  <c r="Z37" i="15"/>
  <c r="AA37" i="15"/>
  <c r="X37" i="15"/>
  <c r="Y37" i="15"/>
  <c r="AB37" i="15"/>
  <c r="AA12" i="15"/>
  <c r="X12" i="15"/>
  <c r="Z12" i="15"/>
  <c r="AB12" i="15"/>
  <c r="Y12" i="15"/>
  <c r="X29" i="17"/>
  <c r="AB29" i="17"/>
  <c r="Y29" i="17"/>
  <c r="Z29" i="17"/>
  <c r="AA29" i="17"/>
  <c r="AB23" i="15"/>
  <c r="Y23" i="15"/>
  <c r="Z23" i="15"/>
  <c r="X23" i="15"/>
  <c r="AA23" i="15"/>
  <c r="AA51" i="15"/>
  <c r="Y51" i="15"/>
  <c r="Z51" i="15"/>
  <c r="X51" i="15"/>
  <c r="AB51" i="15"/>
  <c r="AA36" i="15"/>
  <c r="Z36" i="15"/>
  <c r="Y36" i="15"/>
  <c r="X36" i="15"/>
  <c r="AB36" i="15"/>
  <c r="AB43" i="15"/>
  <c r="Z43" i="15"/>
  <c r="X43" i="15"/>
  <c r="Y43" i="15"/>
  <c r="AA43" i="15"/>
  <c r="X42" i="15"/>
  <c r="AA42" i="15"/>
  <c r="Z42" i="15"/>
  <c r="AB42" i="15"/>
  <c r="Y42" i="15"/>
  <c r="AB10" i="15"/>
  <c r="Y10" i="15"/>
  <c r="Z10" i="15"/>
  <c r="X10" i="15"/>
  <c r="AA10" i="15"/>
  <c r="Y22" i="15"/>
  <c r="Z22" i="15"/>
  <c r="AB22" i="15"/>
  <c r="X22" i="15"/>
  <c r="AA22" i="15"/>
  <c r="V22" i="15" l="1"/>
  <c r="V10" i="15"/>
  <c r="V42" i="15"/>
  <c r="V43" i="15"/>
  <c r="V36" i="15"/>
  <c r="V51" i="15"/>
  <c r="V23" i="15"/>
  <c r="V29" i="17"/>
  <c r="V12" i="15"/>
  <c r="V37" i="15"/>
  <c r="V27" i="15"/>
  <c r="V19" i="15"/>
  <c r="V4" i="15"/>
  <c r="V11" i="17"/>
  <c r="V10" i="17"/>
  <c r="V15" i="17"/>
  <c r="V6" i="17"/>
  <c r="V11" i="15"/>
  <c r="V6" i="15"/>
  <c r="V17" i="15"/>
  <c r="V28" i="15"/>
  <c r="V33" i="15"/>
  <c r="V13" i="15"/>
  <c r="V12" i="17"/>
  <c r="V27" i="17"/>
  <c r="V5" i="17"/>
  <c r="V14" i="17"/>
  <c r="V44" i="15"/>
  <c r="V24" i="17"/>
  <c r="V40" i="15"/>
  <c r="V49" i="15"/>
  <c r="V21" i="17"/>
  <c r="V50" i="15"/>
  <c r="V30" i="15"/>
  <c r="V7" i="17"/>
  <c r="V24" i="15"/>
  <c r="V48" i="15"/>
  <c r="V45" i="15"/>
  <c r="V29" i="15"/>
  <c r="V34" i="15"/>
  <c r="V32" i="15"/>
  <c r="V3" i="17"/>
  <c r="V9" i="17"/>
  <c r="V23" i="17"/>
  <c r="V26" i="17"/>
  <c r="V5" i="15"/>
  <c r="V28" i="17"/>
  <c r="V31" i="15"/>
  <c r="V20" i="15"/>
  <c r="V13" i="17"/>
  <c r="V9" i="15"/>
  <c r="V15" i="15"/>
  <c r="V47" i="15"/>
  <c r="V7" i="15"/>
  <c r="V21" i="15"/>
  <c r="V22" i="17"/>
  <c r="V18" i="17"/>
  <c r="V16" i="15"/>
  <c r="V35" i="15"/>
  <c r="V38" i="15"/>
  <c r="V41" i="15"/>
  <c r="V14" i="15"/>
  <c r="V8" i="15"/>
  <c r="V31" i="17"/>
  <c r="V8" i="17"/>
  <c r="V30" i="17"/>
  <c r="V17" i="17"/>
  <c r="V16" i="17"/>
  <c r="V4" i="17"/>
  <c r="V25" i="15"/>
  <c r="V26" i="15"/>
  <c r="V39" i="15"/>
  <c r="V3" i="15"/>
  <c r="V18" i="15"/>
  <c r="V46" i="15"/>
  <c r="V20" i="17"/>
  <c r="V19" i="17"/>
  <c r="V25" i="17"/>
  <c r="V32" i="17"/>
  <c r="I13" i="1" l="1"/>
  <c r="I14" i="1"/>
  <c r="AC2" i="15" a="1"/>
  <c r="AC27" i="15" l="1"/>
  <c r="AC11" i="15"/>
  <c r="AC37" i="15"/>
  <c r="AC15" i="15"/>
  <c r="AC12" i="15"/>
  <c r="AC42" i="15"/>
  <c r="AC5" i="15"/>
  <c r="AC43" i="15"/>
  <c r="AC34" i="15"/>
  <c r="AC3" i="15"/>
  <c r="AC7" i="15"/>
  <c r="AC26" i="15"/>
  <c r="AC17" i="15"/>
  <c r="AC18" i="15"/>
  <c r="AC14" i="15"/>
  <c r="AC32" i="15"/>
  <c r="AC2" i="15"/>
  <c r="AC10" i="15"/>
  <c r="AC36" i="15"/>
  <c r="AC8" i="15"/>
  <c r="AC21" i="15"/>
  <c r="AC4" i="15"/>
  <c r="AC40" i="15"/>
  <c r="AC9" i="15"/>
  <c r="AC41" i="15"/>
  <c r="AC35" i="15"/>
  <c r="AC45" i="15"/>
  <c r="AC16" i="15"/>
  <c r="AC46" i="15"/>
  <c r="AC49" i="15"/>
  <c r="AC50" i="15"/>
  <c r="AC33" i="15"/>
  <c r="AC30" i="15"/>
  <c r="AC19" i="15"/>
  <c r="AC39" i="15"/>
  <c r="AC6" i="15"/>
  <c r="AC24" i="15"/>
  <c r="AC22" i="15"/>
  <c r="AC20" i="15"/>
  <c r="AC47" i="15"/>
  <c r="AC23" i="15"/>
  <c r="AC48" i="15"/>
  <c r="AC13" i="15"/>
  <c r="AC29" i="15"/>
  <c r="AC44" i="15"/>
  <c r="AC38" i="15"/>
  <c r="AC25" i="15"/>
  <c r="AC28" i="15"/>
  <c r="AC31" i="15"/>
  <c r="AC51" i="15"/>
  <c r="H22" i="1"/>
  <c r="H21" i="1"/>
  <c r="I28" i="1"/>
  <c r="AC2" i="17" a="1"/>
  <c r="AC21" i="17" l="1"/>
  <c r="AC9" i="17"/>
  <c r="AC20" i="17"/>
  <c r="AC32" i="17"/>
  <c r="AC30" i="17"/>
  <c r="AC19" i="17"/>
  <c r="AC18" i="17"/>
  <c r="AC16" i="17"/>
  <c r="AC12" i="17"/>
  <c r="AC10" i="17"/>
  <c r="AC2" i="17"/>
  <c r="AC31" i="17"/>
  <c r="AC25" i="17"/>
  <c r="AC6" i="17"/>
  <c r="AC29" i="17"/>
  <c r="AC15" i="17"/>
  <c r="AC28" i="17"/>
  <c r="AC22" i="17"/>
  <c r="AC13" i="17"/>
  <c r="AC3" i="17"/>
  <c r="AC23" i="17"/>
  <c r="AC17" i="17"/>
  <c r="AC11" i="17"/>
  <c r="AC14" i="17"/>
  <c r="AC26" i="17"/>
  <c r="AC24" i="17"/>
  <c r="AC7" i="17"/>
  <c r="AC27" i="17"/>
  <c r="AC8" i="17"/>
  <c r="AC4" i="17"/>
  <c r="AC5" i="17"/>
  <c r="H37" i="1"/>
  <c r="I37" i="1"/>
  <c r="I22" i="1"/>
  <c r="I21" i="1"/>
  <c r="H36" i="1"/>
  <c r="I36" i="1"/>
  <c r="I29" i="1"/>
  <c r="I23" i="1"/>
  <c r="I38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<sst xmlns="http://schemas.openxmlformats.org/spreadsheetml/2006/main" count="969" uniqueCount="149">
  <si>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</si>
  <si>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</si>
  <si>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</si>
  <si>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</si>
  <si>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</si>
  <si>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</si>
  <si>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</si>
  <si>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</si>
  <si>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</si>
  <si>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</si>
  <si>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</si>
  <si>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</si>
  <si>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</si>
  <si>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</si>
  <si>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</si>
  <si>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</si>
  <si>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</si>
  <si>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</si>
  <si>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</si>
  <si>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</si>
  <si>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</si>
  <si>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</si>
  <si>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</si>
  <si>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</si>
  <si>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</si>
  <si>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</si>
  <si>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</si>
  <si>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</si>
  <si>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</si>
  <si>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</si>
  <si>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</si>
  <si>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</si>
  <si>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</si>
  <si>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</si>
  <si>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</si>
  <si>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</si>
  <si>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</si>
  <si>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</si>
  <si>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MonotonicLogCubicNaturalSpline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</si>
  <si>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</si>
  <si>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</si>
  <si>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</si>
  <si>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</si>
  <si>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</si>
  <si>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</si>
  <si>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</si>
  <si>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</si>
  <si>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</si>
  <si>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</si>
  <si>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</si>
  <si>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</si>
  <si>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</si>
  <si>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</si>
  <si>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</si>
  <si>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</si>
  <si>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</si>
  <si>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</si>
  <si>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</si>
  <si>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</si>
  <si>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</si>
  <si>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</si>
  <si>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</si>
  <si>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</si>
  <si>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</si>
  <si>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</si>
  <si>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</si>
  <si>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</si>
  <si>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</si>
  <si>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</si>
  <si>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</si>
  <si>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</si>
  <si>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</si>
  <si>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</si>
  <si>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</si>
  <si>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</si>
  <si>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</si>
  <si>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</si>
  <si>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</si>
  <si>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</si>
  <si>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</si>
  <si>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</si>
  <si>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</si>
  <si>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</si>
  <si>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</si>
  <si>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</si>
  <si>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</si>
  <si>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</si>
  <si>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</si>
  <si>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</si>
  <si>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</si>
  <si>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</si>
  <si>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</si>
  <si>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</si>
  <si>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</si>
  <si>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</si>
  <si>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</si>
  <si>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IMM</t>
  </si>
  <si>
    <t>Conv adj</t>
  </si>
  <si>
    <t>MainCycle</t>
  </si>
  <si>
    <t>Spread</t>
  </si>
  <si>
    <t>fwd</t>
  </si>
  <si>
    <t>Day Count</t>
  </si>
  <si>
    <t>12M</t>
  </si>
  <si>
    <t>Extrapolation</t>
  </si>
  <si>
    <t>ibor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</si>
  <si>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</si>
  <si>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</si>
  <si>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</si>
  <si>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</si>
  <si>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</si>
  <si>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</si>
  <si>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</si>
  <si>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</si>
  <si>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</si>
  <si>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</si>
  <si>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</si>
  <si>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</si>
  <si>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</si>
  <si>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tau</t>
  </si>
  <si>
    <t>Size</t>
  </si>
  <si>
    <t>SEK</t>
  </si>
  <si>
    <t>Sweden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</si>
  <si>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</si>
  <si>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</si>
  <si>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</si>
  <si>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</si>
  <si>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</si>
  <si>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</si>
  <si>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</si>
  <si>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</si>
  <si>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</si>
  <si>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</si>
  <si>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</si>
  <si>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</si>
  <si>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</si>
  <si>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</si>
  <si>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</si>
  <si>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</si>
  <si>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</si>
  <si>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</si>
  <si>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qlFraRateHelper(,F3,C3,E3,PillarDate,,Permanent,Trigger,ObjectOverwrite)</t>
  </si>
  <si>
    <t>3S</t>
  </si>
  <si>
    <t>SB</t>
  </si>
  <si>
    <t>6S</t>
  </si>
  <si>
    <t>_3S6S</t>
  </si>
  <si>
    <t>1S</t>
  </si>
  <si>
    <t>BasSw</t>
  </si>
  <si>
    <t>IMMFRA</t>
  </si>
  <si>
    <t>OISShort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</si>
</sst>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07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5" fillId="8" borderId="0" xfId="0" applyNumberFormat="1" applyFont="1" applyFill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1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72" fontId="3" fillId="9" borderId="2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vertical="center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 Short"/>
      <sheetName val="OIS"/>
      <sheetName val="Swaps3M"/>
      <sheetName val="BasisSwap3M6M"/>
      <sheetName val="BasisSwap1M3M"/>
    </sheetNames>
    <sheetDataSet>
      <sheetData sheetId="0"/>
      <sheetData sheetId="1">
        <row r="5">
          <cell r="J5" t="str">
            <v>SEKON#0000</v>
          </cell>
        </row>
        <row r="7">
          <cell r="J7" t="str">
            <v>SEK1M#0000</v>
          </cell>
        </row>
        <row r="9">
          <cell r="J9" t="str">
            <v>SEK3M#0000</v>
          </cell>
        </row>
        <row r="10">
          <cell r="J10" t="str">
            <v>SEK6M#0000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41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6"/>
      <c r="C2" s="87"/>
      <c r="D2" s="87"/>
      <c r="E2" s="88"/>
      <c r="G2" s="86"/>
      <c r="H2" s="87"/>
      <c r="I2" s="87"/>
      <c r="J2" s="88"/>
    </row>
    <row r="3" spans="1:10" ht="11.25" customHeight="1" x14ac:dyDescent="0.2">
      <c r="B3" s="91"/>
      <c r="C3" s="13" t="s">
        <v>22</v>
      </c>
      <c r="D3" s="85" t="s">
        <v>120</v>
      </c>
      <c r="E3" s="89"/>
      <c r="G3" s="91"/>
      <c r="H3" s="13" t="s">
        <v>31</v>
      </c>
      <c r="I3" s="14">
        <f>_xll.qlSettingsEvaluationDate(Trigger)</f>
        <v>42354</v>
      </c>
      <c r="J3" s="89"/>
    </row>
    <row r="4" spans="1:10" ht="11.25" customHeight="1" x14ac:dyDescent="0.2">
      <c r="B4" s="91"/>
      <c r="C4" s="15" t="s">
        <v>19</v>
      </c>
      <c r="D4" s="17" t="b">
        <v>1</v>
      </c>
      <c r="E4" s="89"/>
      <c r="G4" s="91"/>
      <c r="H4" s="15" t="s">
        <v>32</v>
      </c>
      <c r="I4" s="16">
        <f>_xll.qlCalendarAdvance(Calendar,Evaluationdate,"2D","F",,Trigger)</f>
        <v>42356</v>
      </c>
      <c r="J4" s="89"/>
    </row>
    <row r="5" spans="1:10" ht="11.25" customHeight="1" x14ac:dyDescent="0.2">
      <c r="A5" s="51"/>
      <c r="B5" s="92"/>
      <c r="C5" s="20" t="s">
        <v>18</v>
      </c>
      <c r="D5" s="21">
        <v>42354.613761574074</v>
      </c>
      <c r="E5" s="89"/>
      <c r="G5" s="91"/>
      <c r="H5" s="15" t="s">
        <v>14</v>
      </c>
      <c r="I5" s="16" t="s">
        <v>121</v>
      </c>
      <c r="J5" s="89"/>
    </row>
    <row r="6" spans="1:10" ht="11.25" customHeight="1" x14ac:dyDescent="0.2">
      <c r="A6" s="51"/>
      <c r="B6" s="92"/>
      <c r="C6" s="15" t="s">
        <v>20</v>
      </c>
      <c r="D6" s="17" t="b">
        <v>1</v>
      </c>
      <c r="E6" s="89"/>
      <c r="G6" s="91"/>
      <c r="H6" s="174"/>
      <c r="I6" s="174"/>
      <c r="J6" s="89"/>
    </row>
    <row r="7" spans="1:10" ht="11.25" customHeight="1" x14ac:dyDescent="0.2">
      <c r="A7" s="51"/>
      <c r="B7" s="92"/>
      <c r="C7" s="15" t="s">
        <v>21</v>
      </c>
      <c r="D7" s="18" t="str">
        <f>Currency&amp;"ON"</f>
        <v>SEKON</v>
      </c>
      <c r="E7" s="89"/>
      <c r="G7" s="91"/>
      <c r="H7" s="13" t="s">
        <v>36</v>
      </c>
      <c r="I7" s="170" t="s">
        <v>104</v>
      </c>
      <c r="J7" s="89"/>
    </row>
    <row r="8" spans="1:10" ht="11.25" customHeight="1" x14ac:dyDescent="0.2">
      <c r="A8" s="51"/>
      <c r="B8" s="93"/>
      <c r="C8" s="19" t="s">
        <v>79</v>
      </c>
      <c r="D8" s="205" t="s">
        <v>80</v>
      </c>
      <c r="E8" s="89"/>
      <c r="G8" s="91"/>
      <c r="H8" s="15" t="s">
        <v>72</v>
      </c>
      <c r="I8" s="171" t="s">
        <v>73</v>
      </c>
      <c r="J8" s="89"/>
    </row>
    <row r="9" spans="1:10" ht="11.25" customHeight="1" x14ac:dyDescent="0.2">
      <c r="B9" s="93"/>
      <c r="C9" s="173"/>
      <c r="D9" s="173"/>
      <c r="E9" s="89"/>
      <c r="G9" s="91"/>
      <c r="H9" s="19" t="s">
        <v>113</v>
      </c>
      <c r="I9" s="172" t="s">
        <v>112</v>
      </c>
      <c r="J9" s="89"/>
    </row>
    <row r="10" spans="1:10" ht="11.25" customHeight="1" x14ac:dyDescent="0.2">
      <c r="B10" s="94"/>
      <c r="C10" s="95"/>
      <c r="D10" s="96"/>
      <c r="E10" s="90"/>
      <c r="G10" s="94"/>
      <c r="H10" s="95"/>
      <c r="I10" s="96"/>
      <c r="J10" s="90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_xll.qlPiecewiseYieldCurve($D$15,$D$16,Calendar,_xll.ohPack(RateHelpersON),,JumpQuotes_ON,JumpDates_ON,D17,D18,D19,Permanent,,ObjectOverwrite)</f>
        <v>_SEKON#0000</v>
      </c>
      <c r="E13" s="43"/>
      <c r="G13" s="23"/>
      <c r="H13" s="22" t="s">
        <v>10</v>
      </c>
      <c r="I13" s="42" t="e">
        <f>_xll.qlPiecewiseYieldCurve(I15,I16,Calendar,_xll.ohPack(RateHelpers3M),,JumpQuotes_3M,JumpDates_3M,I17,I18,I19,Permanent,,ObjectOverwrite)</f>
        <v>#NUM!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 ca="1">_xll.ohRangeRetrieveError(YieldCurve_3M)</f>
        <v>qlPiecewiseYieldCurve - operToVectorImpl: error converting parameter 'RateHelpers' to type 'class std::basic_string&lt;char,struct std::char_traits&lt;char&gt;,class std::allocator&lt;char&gt; &gt;' : Unable to convert type 'struct ObjectHandler::empty_property_tag' to typ</v>
      </c>
      <c r="J14" s="43"/>
    </row>
    <row r="15" spans="1:10" x14ac:dyDescent="0.2">
      <c r="B15" s="23"/>
      <c r="C15" s="22" t="s">
        <v>12</v>
      </c>
      <c r="D15" s="25" t="str">
        <f>"_"&amp;Currency&amp;"ON"</f>
        <v>_SEKON</v>
      </c>
      <c r="E15" s="43"/>
      <c r="G15" s="23"/>
      <c r="H15" s="22" t="s">
        <v>12</v>
      </c>
      <c r="I15" s="25" t="str">
        <f>"_"&amp;Currency&amp;"3M"</f>
        <v>_SEK3M</v>
      </c>
      <c r="J15" s="43"/>
    </row>
    <row r="16" spans="1:10" x14ac:dyDescent="0.2">
      <c r="B16" s="23"/>
      <c r="C16" s="26" t="s">
        <v>13</v>
      </c>
      <c r="D16" s="27">
        <v>2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33</v>
      </c>
      <c r="E18" s="43"/>
      <c r="G18" s="23"/>
      <c r="H18" s="26" t="s">
        <v>16</v>
      </c>
      <c r="I18" s="29" t="s">
        <v>33</v>
      </c>
      <c r="J18" s="43"/>
    </row>
    <row r="19" spans="1:10" x14ac:dyDescent="0.2">
      <c r="B19" s="23"/>
      <c r="C19" s="24" t="s">
        <v>17</v>
      </c>
      <c r="D19" s="30" t="s">
        <v>38</v>
      </c>
      <c r="E19" s="43"/>
      <c r="G19" s="23"/>
      <c r="H19" s="24" t="s">
        <v>17</v>
      </c>
      <c r="I19" s="30" t="s">
        <v>38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42356</v>
      </c>
      <c r="D21" s="33">
        <f>_xll.qlYieldTSDiscount(YieldCurve_ON,C21,,Trigger)</f>
        <v>1</v>
      </c>
      <c r="E21" s="43"/>
      <c r="G21" s="23"/>
      <c r="H21" s="32" t="e">
        <f>_xll.qlTermStructureReferenceDate(YieldCurve_3M)</f>
        <v>#VALUE!</v>
      </c>
      <c r="I21" s="33" t="e">
        <f>_xll.qlYieldTSDiscount(YieldCurve_3M,H21,,Trigger)</f>
        <v>#VALUE!</v>
      </c>
      <c r="J21" s="43"/>
    </row>
    <row r="22" spans="1:10" x14ac:dyDescent="0.2">
      <c r="B22" s="23"/>
      <c r="C22" s="34">
        <f>_xll.qlTermStructureMaxDate(YieldCurve_ON,Trigger)</f>
        <v>53314</v>
      </c>
      <c r="D22" s="35">
        <f>_xll.qlYieldTSDiscount(YieldCurve_ON,C22,,Trigger)</f>
        <v>0.50513418590257497</v>
      </c>
      <c r="E22" s="43"/>
      <c r="G22" s="23"/>
      <c r="H22" s="34" t="e">
        <f>_xll.qlTermStructureMaxDate(YieldCurve_3M,Trigger)</f>
        <v>#VALUE!</v>
      </c>
      <c r="I22" s="35" t="e">
        <f>_xll.qlYieldTSDiscount(YieldCurve_3M,H22,,Trigger)</f>
        <v>#VALUE!</v>
      </c>
      <c r="J22" s="43"/>
    </row>
    <row r="23" spans="1:10" x14ac:dyDescent="0.2">
      <c r="B23" s="23"/>
      <c r="C23" s="34" t="str">
        <f>[1]Stibor!$J$5</f>
        <v>SEKON#0000</v>
      </c>
      <c r="D23" s="35" t="b">
        <f>_xll.qlRelinkableHandleLinkTo(C23,D13,Trigger)</f>
        <v>1</v>
      </c>
      <c r="E23" s="43"/>
      <c r="G23" s="23"/>
      <c r="H23" s="34" t="str">
        <f>[1]Stibor!$J$9</f>
        <v>SEK3M#0000</v>
      </c>
      <c r="I23" s="35" t="e">
        <f>_xll.qlRelinkableHandleLinkTo(H23,I13,Trigger)</f>
        <v>#NUM!</v>
      </c>
      <c r="J23" s="43"/>
    </row>
    <row r="24" spans="1:10" x14ac:dyDescent="0.2">
      <c r="B24" s="23"/>
      <c r="C24" s="36" t="s">
        <v>103</v>
      </c>
      <c r="D24" s="37" t="b">
        <v>0</v>
      </c>
      <c r="E24" s="43"/>
      <c r="G24" s="23"/>
      <c r="H24" s="36" t="s">
        <v>103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_xll.qlPiecewiseYieldCurve(D30,D31,Calendar,_xll.ohPack(RateHelpers6M),,JumpQuotes_6M,JumpDates_6M,D32,D33,D34,Permanent,,ObjectOverwrite)</f>
        <v>_SEK6M#0000</v>
      </c>
      <c r="E28" s="43"/>
      <c r="F28" s="50"/>
      <c r="G28" s="23"/>
      <c r="H28" s="22" t="s">
        <v>10</v>
      </c>
      <c r="I28" s="42" t="str">
        <f>_xll.qlPiecewiseYieldCurve(I30,I31,Calendar,_xll.ohPack(RateHelpers1M),,JumpQuotes_1M,JumpDates_1M,I32,I33,I34,Permanent,,ObjectOverwrite)</f>
        <v>_SEK1M#0000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_SEK6M</v>
      </c>
      <c r="E30" s="43"/>
      <c r="F30" s="50"/>
      <c r="G30" s="23"/>
      <c r="H30" s="22" t="s">
        <v>12</v>
      </c>
      <c r="I30" s="25" t="str">
        <f>"_"&amp;Currency&amp;"1M"</f>
        <v>_SEK1M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33</v>
      </c>
      <c r="E33" s="43"/>
      <c r="F33" s="50"/>
      <c r="G33" s="23"/>
      <c r="H33" s="26" t="s">
        <v>16</v>
      </c>
      <c r="I33" s="29" t="s">
        <v>33</v>
      </c>
      <c r="J33" s="43"/>
    </row>
    <row r="34" spans="2:10" x14ac:dyDescent="0.2">
      <c r="B34" s="23"/>
      <c r="C34" s="24" t="s">
        <v>17</v>
      </c>
      <c r="D34" s="30" t="s">
        <v>38</v>
      </c>
      <c r="E34" s="43"/>
      <c r="F34" s="50"/>
      <c r="G34" s="23"/>
      <c r="H34" s="24" t="s">
        <v>17</v>
      </c>
      <c r="I34" s="30" t="s">
        <v>38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42356</v>
      </c>
      <c r="D36" s="33" t="e">
        <f>_xll.qlYieldTSDiscount(YieldCurve_6M,C36,,Trigger)</f>
        <v>#NUM!</v>
      </c>
      <c r="E36" s="43"/>
      <c r="F36" s="50"/>
      <c r="G36" s="23"/>
      <c r="H36" s="32">
        <f>_xll.qlTermStructureReferenceDate(YieldCurve_1M)</f>
        <v>42356</v>
      </c>
      <c r="I36" s="33" t="e">
        <f>_xll.qlYieldTSDiscount(YieldCurve_1M,H36,,Trigger)</f>
        <v>#NUM!</v>
      </c>
      <c r="J36" s="43"/>
    </row>
    <row r="37" spans="2:10" x14ac:dyDescent="0.2">
      <c r="B37" s="23"/>
      <c r="C37" s="34" t="e">
        <f>_xll.qlTermStructureMaxDate(YieldCurve_6M,Trigger)</f>
        <v>#NUM!</v>
      </c>
      <c r="D37" s="35" t="e">
        <f>_xll.qlYieldTSDiscount(YieldCurve_6M,C37,,Trigger)</f>
        <v>#NUM!</v>
      </c>
      <c r="E37" s="43"/>
      <c r="F37" s="50"/>
      <c r="G37" s="23"/>
      <c r="H37" s="34" t="e">
        <f>_xll.qlTermStructureMaxDate(YieldCurve_1M,Trigger)</f>
        <v>#NUM!</v>
      </c>
      <c r="I37" s="35" t="e">
        <f>_xll.qlYieldTSDiscount(YieldCurve_1M,H37,,Trigger)</f>
        <v>#NUM!</v>
      </c>
      <c r="J37" s="43"/>
    </row>
    <row r="38" spans="2:10" x14ac:dyDescent="0.2">
      <c r="B38" s="23"/>
      <c r="C38" s="34" t="str">
        <f>[1]Stibor!$J$10</f>
        <v>SEK6M#0000</v>
      </c>
      <c r="D38" s="35" t="b">
        <f>_xll.qlRelinkableHandleLinkTo(C38,D28,Trigger)</f>
        <v>1</v>
      </c>
      <c r="E38" s="43"/>
      <c r="F38" s="50"/>
      <c r="G38" s="23"/>
      <c r="H38" s="34" t="str">
        <f>[1]Stibor!$J$7</f>
        <v>SEK1M#0000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103</v>
      </c>
      <c r="D39" s="37" t="b">
        <v>0</v>
      </c>
      <c r="E39" s="43"/>
      <c r="F39" s="50"/>
      <c r="G39" s="23"/>
      <c r="H39" s="36" t="s">
        <v>103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</sheetData>
  <dataValidations count="5">
    <dataValidation type="list" allowBlank="1" showInputMessage="1" showErrorMessage="1" sqref="D33 D18 I18 I33">
      <formula1>"Discount,ZeroYield,ForwardRate"</formula1>
    </dataValidation>
    <dataValidation type="list" allowBlank="1" showInputMessage="1" showErrorMessage="1" sqref="D34 D19 I19 I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I5">
      <formula1>"NullCalendar,Australia,China,HongKong::HKEx,Sweden,CzechRepublic::PSE,Poland,Hungary,SouthKorea::KRX,Israel::Settlement"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J80"/>
  <sheetViews>
    <sheetView showGridLines="0" topLeftCell="I1" zoomScaleNormal="100" workbookViewId="0">
      <selection activeCell="AA1" sqref="AA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5" style="49" hidden="1" customWidth="1" outlineLevel="1"/>
    <col min="11" max="11" width="15.140625" style="107" hidden="1" customWidth="1" outlineLevel="1"/>
    <col min="12" max="12" width="22.7109375" style="107" hidden="1" customWidth="1" outlineLevel="1"/>
    <col min="13" max="13" width="9.7109375" style="107" hidden="1" customWidth="1" outlineLevel="1"/>
    <col min="14" max="14" width="7.85546875" style="107" hidden="1" customWidth="1" outlineLevel="1"/>
    <col min="15" max="15" width="9" style="107" hidden="1" customWidth="1" outlineLevel="1"/>
    <col min="16" max="16" width="5.85546875" style="107" hidden="1" customWidth="1" outlineLevel="1"/>
    <col min="17" max="18" width="10.7109375" style="107" hidden="1" customWidth="1" outlineLevel="1"/>
    <col min="19" max="19" width="2.7109375" style="51" hidden="1" customWidth="1" outlineLevel="1"/>
    <col min="20" max="20" width="9" style="49" bestFit="1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2" style="49" bestFit="1" customWidth="1"/>
    <col min="28" max="28" width="3.5703125" style="49" customWidth="1"/>
    <col min="29" max="29" width="2.7109375" style="49" customWidth="1"/>
    <col min="30" max="30" width="24.42578125" style="49" bestFit="1" customWidth="1"/>
    <col min="31" max="31" width="24.42578125" style="49" hidden="1" customWidth="1" outlineLevel="1"/>
    <col min="32" max="32" width="7" style="49" hidden="1" customWidth="1" outlineLevel="1"/>
    <col min="33" max="33" width="11" style="49" hidden="1" customWidth="1" outlineLevel="1"/>
    <col min="34" max="34" width="9" style="49" bestFit="1" customWidth="1" collapsed="1"/>
    <col min="35" max="35" width="10" style="49" customWidth="1"/>
    <col min="36" max="37" width="24.42578125" style="49" bestFit="1" customWidth="1"/>
    <col min="38" max="16384" width="9.140625" style="49"/>
  </cols>
  <sheetData>
    <row r="1" spans="1:36" ht="18" customHeight="1" x14ac:dyDescent="0.2">
      <c r="E1" s="53" t="str">
        <f>PROPER(Currency)&amp;FamilyName&amp;"ON"</f>
        <v>SekiborON</v>
      </c>
      <c r="J1" s="70" t="s">
        <v>25</v>
      </c>
      <c r="K1" s="110"/>
      <c r="L1" s="110"/>
      <c r="M1" s="110"/>
      <c r="N1" s="110"/>
      <c r="O1" s="110"/>
      <c r="P1" s="110"/>
      <c r="Q1" s="110"/>
      <c r="R1" s="100"/>
      <c r="S1" s="97"/>
      <c r="T1" s="78" t="str">
        <f>Currency&amp;"OIS"</f>
        <v>SEKOIS</v>
      </c>
      <c r="U1" s="69"/>
      <c r="V1" s="69"/>
      <c r="W1" s="72"/>
      <c r="X1" s="72"/>
      <c r="Y1" s="69"/>
      <c r="Z1" s="69"/>
      <c r="AA1" s="76" t="s">
        <v>33</v>
      </c>
    </row>
    <row r="2" spans="1:36" ht="21.75" customHeight="1" x14ac:dyDescent="0.2">
      <c r="A2" s="68" t="s">
        <v>9</v>
      </c>
      <c r="B2" s="68" t="s">
        <v>30</v>
      </c>
      <c r="C2" s="68" t="s">
        <v>78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82</v>
      </c>
      <c r="M2" s="77" t="s">
        <v>85</v>
      </c>
      <c r="N2" s="77" t="s">
        <v>83</v>
      </c>
      <c r="O2" s="77" t="s">
        <v>84</v>
      </c>
      <c r="P2" s="77" t="s">
        <v>86</v>
      </c>
      <c r="Q2" s="77" t="s">
        <v>23</v>
      </c>
      <c r="R2" s="77" t="s">
        <v>79</v>
      </c>
      <c r="S2" s="97"/>
      <c r="T2" s="77" t="s">
        <v>9</v>
      </c>
      <c r="U2" s="77" t="s">
        <v>25</v>
      </c>
      <c r="V2" s="77" t="s">
        <v>82</v>
      </c>
      <c r="W2" s="79" t="s">
        <v>24</v>
      </c>
      <c r="X2" s="79" t="s">
        <v>87</v>
      </c>
      <c r="Y2" s="77" t="s">
        <v>23</v>
      </c>
      <c r="Z2" s="77" t="s">
        <v>79</v>
      </c>
      <c r="AA2" s="80">
        <f t="array" ref="AA2:AA59">_xll.qlPiecewiseYieldCurveData(YieldCurve_ON,Trigger)</f>
        <v>1</v>
      </c>
      <c r="AD2" s="191" t="s">
        <v>88</v>
      </c>
      <c r="AE2" s="192"/>
      <c r="AF2" s="192"/>
      <c r="AG2" s="192"/>
      <c r="AH2" s="193"/>
    </row>
    <row r="3" spans="1:36" ht="11.25" customHeight="1" x14ac:dyDescent="0.2">
      <c r="A3" s="56" t="s">
        <v>27</v>
      </c>
      <c r="B3" s="57" t="s">
        <v>74</v>
      </c>
      <c r="C3" s="59" t="s">
        <v>76</v>
      </c>
      <c r="D3" s="133"/>
      <c r="E3" s="58" t="str">
        <f t="shared" ref="E3:E4" si="0">$E$1</f>
        <v>SekiborON</v>
      </c>
      <c r="F3" s="60" t="str">
        <f>Currency&amp;$B3&amp;"D"&amp;QuoteSuffix</f>
        <v>SEKTND_Quote</v>
      </c>
      <c r="G3" s="133"/>
      <c r="H3" s="61" t="s">
        <v>140</v>
      </c>
      <c r="I3" s="52"/>
      <c r="J3" s="10" t="str">
        <f>A3</f>
        <v>Dp</v>
      </c>
      <c r="K3" s="98" t="str">
        <f>IF(ISBLANK(H3),"--",H3)</f>
        <v>qlFraRateHelper(,F3,C3,E3,PillarDate,,Permanent,Trigger,ObjectOverwrite)</v>
      </c>
      <c r="L3" s="148" t="str">
        <f>IFERROR(_xll.qlRateHelperQuoteName(K3,Trigger),"--")</f>
        <v>--</v>
      </c>
      <c r="M3" s="102" t="str">
        <f>IFERROR(_xll.qlRateHelperQuoteValue($K3,Trigger),"--")</f>
        <v>--</v>
      </c>
      <c r="N3" s="101" t="b">
        <v>0</v>
      </c>
      <c r="O3" s="98">
        <v>70</v>
      </c>
      <c r="P3" s="98">
        <v>1</v>
      </c>
      <c r="Q3" s="103" t="str">
        <f>IFERROR(_xll.qlRateHelperEarliestDate(K3,Trigger),"--")</f>
        <v>--</v>
      </c>
      <c r="R3" s="103" t="str">
        <f>IFERROR(_xll.qlRateHelperPillarDate(K3,Trigger),"--")</f>
        <v>--</v>
      </c>
      <c r="T3" s="4" t="str">
        <f>IFERROR(INDEX($J$3:$J$59,MATCH(V3,$L$3:$L$59,0),1),"")</f>
        <v>OISShort</v>
      </c>
      <c r="U3" s="4" t="str">
        <f t="array" ref="U3:U59">_xll.qlRateHelperSelection(_xll.ohFilter(RateHelpers,IncludeFlag),_xll.ohFilter(Priority,IncludeFlag),AH3,AH4,AH5,AH6,_xll.ohFilter(MinDistance,IncludeFlag),Trigger)</f>
        <v>obj_0015e</v>
      </c>
      <c r="V3" s="4" t="str">
        <f>IFERROR(_xll.qlRateHelperQuoteName(U3,Trigger),"")</f>
        <v>SEKOIS1M_Quote</v>
      </c>
      <c r="W3" s="73">
        <f>IFERROR(_xll.qlRateHelperRate(U3,Trigger),"")</f>
        <v>-4.1000000000000003E-3</v>
      </c>
      <c r="X3" s="108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42356</v>
      </c>
      <c r="Z3" s="5">
        <f>IFERROR(_xll.qlRateHelperPillarDate(U3,Trigger),"")</f>
        <v>42387</v>
      </c>
      <c r="AA3" s="81">
        <v>1.0003531802478043</v>
      </c>
      <c r="AB3" s="190"/>
      <c r="AD3" s="111" t="s">
        <v>89</v>
      </c>
      <c r="AH3" s="112">
        <v>0</v>
      </c>
    </row>
    <row r="4" spans="1:36" ht="11.25" customHeight="1" x14ac:dyDescent="0.2">
      <c r="A4" s="1" t="s">
        <v>27</v>
      </c>
      <c r="B4" s="8" t="s">
        <v>75</v>
      </c>
      <c r="C4" s="9" t="s">
        <v>77</v>
      </c>
      <c r="D4" s="130"/>
      <c r="E4" s="7" t="str">
        <f t="shared" si="0"/>
        <v>SekiborON</v>
      </c>
      <c r="F4" s="2" t="str">
        <f>Currency&amp;$B4&amp;"D"&amp;QuoteSuffix</f>
        <v>SEKSND_Quote</v>
      </c>
      <c r="G4" s="130"/>
      <c r="H4" s="3"/>
      <c r="I4" s="51"/>
      <c r="J4" s="11" t="str">
        <f>A4</f>
        <v>Dp</v>
      </c>
      <c r="K4" s="99" t="str">
        <f>IF(ISBLANK(H4),"--",H4)</f>
        <v>--</v>
      </c>
      <c r="L4" s="149" t="str">
        <f>IFERROR(_xll.qlRateHelperQuoteName(K4,Trigger),"--")</f>
        <v>--</v>
      </c>
      <c r="M4" s="105" t="str">
        <f>IFERROR(_xll.qlRateHelperQuoteValue($K4,Trigger),"--")</f>
        <v>--</v>
      </c>
      <c r="N4" s="104" t="b">
        <v>0</v>
      </c>
      <c r="O4" s="99">
        <v>70</v>
      </c>
      <c r="P4" s="99">
        <v>1</v>
      </c>
      <c r="Q4" s="106" t="str">
        <f>IFERROR(_xll.qlRateHelperEarliestDate(K4,Trigger),"--")</f>
        <v>--</v>
      </c>
      <c r="R4" s="106" t="str">
        <f>IFERROR(_xll.qlRateHelperPillarDate(K4,Trigger),"--")</f>
        <v>--</v>
      </c>
      <c r="T4" s="4" t="str">
        <f t="shared" ref="T4:T59" si="1">IFERROR(INDEX($J$3:$J$59,MATCH(V4,$L$3:$L$59,0),1),"")</f>
        <v>OISShort</v>
      </c>
      <c r="U4" s="4" t="str">
        <v>obj_0015d</v>
      </c>
      <c r="V4" s="4" t="str">
        <f>IFERROR(_xll.qlRateHelperQuoteName(U4,Trigger),"")</f>
        <v>SEKOIS2M_Quote</v>
      </c>
      <c r="W4" s="73">
        <f>IFERROR(_xll.qlRateHelperRate(U4,Trigger),"")</f>
        <v>-4.2500000000000003E-3</v>
      </c>
      <c r="X4" s="108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42356</v>
      </c>
      <c r="Z4" s="5">
        <f>IFERROR(_xll.qlRateHelperPillarDate(U4,Trigger),"")</f>
        <v>42418</v>
      </c>
      <c r="AA4" s="81">
        <v>1.0007324805795352</v>
      </c>
      <c r="AB4" s="190"/>
      <c r="AD4" s="111" t="s">
        <v>90</v>
      </c>
      <c r="AH4" s="112">
        <v>0</v>
      </c>
    </row>
    <row r="5" spans="1:36" ht="11.25" customHeight="1" x14ac:dyDescent="0.2">
      <c r="E5" s="53" t="s">
        <v>71</v>
      </c>
      <c r="I5" s="51"/>
      <c r="J5" s="10" t="str">
        <f>A7</f>
        <v>OISShort</v>
      </c>
      <c r="K5" s="98" t="str">
        <f>IF(ISBLANK(H7),"--",H7)</f>
        <v>--</v>
      </c>
      <c r="L5" s="148" t="str">
        <f>IFERROR(_xll.qlRateHelperQuoteName(K5,Trigger),"--")</f>
        <v>--</v>
      </c>
      <c r="M5" s="102" t="str">
        <f>IFERROR(_xll.qlRateHelperQuoteValue($K5,Trigger),"--")</f>
        <v>--</v>
      </c>
      <c r="N5" s="101" t="b">
        <v>0</v>
      </c>
      <c r="O5" s="98">
        <v>50</v>
      </c>
      <c r="P5" s="98">
        <v>1</v>
      </c>
      <c r="Q5" s="103" t="str">
        <f>IFERROR(_xll.qlRateHelperEarliestDate(K5,Trigger),"--")</f>
        <v>--</v>
      </c>
      <c r="R5" s="103" t="str">
        <f>IFERROR(_xll.qlRateHelperPillarDate(K5,Trigger),"--")</f>
        <v>--</v>
      </c>
      <c r="T5" s="4" t="str">
        <f t="shared" si="1"/>
        <v>OISShort</v>
      </c>
      <c r="U5" s="4" t="str">
        <v>obj_00159</v>
      </c>
      <c r="V5" s="4" t="str">
        <f>IFERROR(_xll.qlRateHelperQuoteName(U5,Trigger),"")</f>
        <v>SEKOIS3M_Quote</v>
      </c>
      <c r="W5" s="73">
        <f>IFERROR(_xll.qlRateHelperRate(U5,Trigger),"")</f>
        <v>-4.3000000000000009E-3</v>
      </c>
      <c r="X5" s="108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42356</v>
      </c>
      <c r="Z5" s="5">
        <f>IFERROR(_xll.qlRateHelperPillarDate(U5,Trigger),"")</f>
        <v>42447</v>
      </c>
      <c r="AA5" s="81">
        <v>1.0010881271782357</v>
      </c>
      <c r="AB5" s="190"/>
      <c r="AC5" s="84"/>
      <c r="AD5" s="111" t="s">
        <v>91</v>
      </c>
      <c r="AH5" s="112">
        <v>0</v>
      </c>
    </row>
    <row r="6" spans="1:36" ht="11.25" customHeight="1" x14ac:dyDescent="0.2">
      <c r="A6" s="68" t="s">
        <v>9</v>
      </c>
      <c r="B6" s="68" t="s">
        <v>30</v>
      </c>
      <c r="C6" s="68" t="s">
        <v>81</v>
      </c>
      <c r="D6" s="68"/>
      <c r="E6" s="68" t="s">
        <v>4</v>
      </c>
      <c r="F6" s="68" t="s">
        <v>1</v>
      </c>
      <c r="G6" s="68"/>
      <c r="H6" s="68" t="s">
        <v>25</v>
      </c>
      <c r="I6" s="51"/>
      <c r="J6" s="10" t="str">
        <f>A8</f>
        <v>OISShort</v>
      </c>
      <c r="K6" s="98" t="str">
        <f>IF(ISBLANK(H8),"--",H8)</f>
        <v>--</v>
      </c>
      <c r="L6" s="148" t="str">
        <f>IFERROR(_xll.qlRateHelperQuoteName(K6,Trigger),"--")</f>
        <v>--</v>
      </c>
      <c r="M6" s="102" t="str">
        <f>IFERROR(_xll.qlRateHelperQuoteValue($K6,Trigger),"--")</f>
        <v>--</v>
      </c>
      <c r="N6" s="101" t="b">
        <v>0</v>
      </c>
      <c r="O6" s="98">
        <v>50</v>
      </c>
      <c r="P6" s="98">
        <v>1</v>
      </c>
      <c r="Q6" s="103" t="str">
        <f>IFERROR(_xll.qlRateHelperEarliestDate(K6,Trigger),"--")</f>
        <v>--</v>
      </c>
      <c r="R6" s="103" t="str">
        <f>IFERROR(_xll.qlRateHelperPillarDate(K6,Trigger),"--")</f>
        <v>--</v>
      </c>
      <c r="T6" s="4" t="str">
        <f t="shared" si="1"/>
        <v>OISShort</v>
      </c>
      <c r="U6" s="4" t="str">
        <v>obj_0015b</v>
      </c>
      <c r="V6" s="4" t="str">
        <f>IFERROR(_xll.qlRateHelperQuoteName(U6,Trigger),"")</f>
        <v>SEKOIS6M_Quote</v>
      </c>
      <c r="W6" s="73">
        <f>IFERROR(_xll.qlRateHelperRate(U6,Trigger),"")</f>
        <v>-4.5000000000000005E-3</v>
      </c>
      <c r="X6" s="108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42356</v>
      </c>
      <c r="Z6" s="5">
        <f>IFERROR(_xll.qlRateHelperPillarDate(U6,Trigger),"")</f>
        <v>42541</v>
      </c>
      <c r="AA6" s="81">
        <v>1.0023178600513687</v>
      </c>
      <c r="AB6" s="190"/>
      <c r="AD6" s="111" t="s">
        <v>92</v>
      </c>
      <c r="AH6" s="113" t="s">
        <v>93</v>
      </c>
    </row>
    <row r="7" spans="1:36" ht="11.25" customHeight="1" x14ac:dyDescent="0.2">
      <c r="A7" s="56" t="s">
        <v>148</v>
      </c>
      <c r="B7" s="57" t="s">
        <v>94</v>
      </c>
      <c r="C7" s="58">
        <f>IF(B7="O/N",0,IF(B7="T/N",1,2))</f>
        <v>2</v>
      </c>
      <c r="D7" s="129"/>
      <c r="E7" s="65" t="str">
        <f>$E$1</f>
        <v>SekiborON</v>
      </c>
      <c r="F7" s="60" t="str">
        <f t="shared" ref="F7:F38" si="2">Currency&amp;$E$5&amp;IF($B7="1W","SW",$B7)&amp;QuoteSuffix</f>
        <v>SEKOISSW_Quote</v>
      </c>
      <c r="G7" s="129"/>
      <c r="H7" s="61"/>
      <c r="I7" s="51"/>
      <c r="J7" s="10" t="str">
        <f>A9</f>
        <v>OISShort</v>
      </c>
      <c r="K7" s="98" t="str">
        <f>IF(ISBLANK(H9),"--",H9)</f>
        <v>--</v>
      </c>
      <c r="L7" s="148" t="str">
        <f>IFERROR(_xll.qlRateHelperQuoteName(K7,Trigger),"--")</f>
        <v>--</v>
      </c>
      <c r="M7" s="102" t="str">
        <f>IFERROR(_xll.qlRateHelperQuoteValue($K7,Trigger),"--")</f>
        <v>--</v>
      </c>
      <c r="N7" s="101" t="b">
        <v>0</v>
      </c>
      <c r="O7" s="98">
        <v>50</v>
      </c>
      <c r="P7" s="98">
        <v>1</v>
      </c>
      <c r="Q7" s="103" t="str">
        <f>IFERROR(_xll.qlRateHelperEarliestDate(K7,Trigger),"--")</f>
        <v>--</v>
      </c>
      <c r="R7" s="103" t="str">
        <f>IFERROR(_xll.qlRateHelperPillarDate(K7,Trigger),"--")</f>
        <v>--</v>
      </c>
      <c r="T7" s="4" t="str">
        <f t="shared" si="1"/>
        <v>OISShort</v>
      </c>
      <c r="U7" s="4" t="str">
        <v>obj_0015a</v>
      </c>
      <c r="V7" s="4" t="str">
        <f>IFERROR(_xll.qlRateHelperQuoteName(U7,Trigger),"")</f>
        <v>SEKOIS9M_Quote</v>
      </c>
      <c r="W7" s="73">
        <f>IFERROR(_xll.qlRateHelperRate(U7,Trigger),"")</f>
        <v>-4.5000000000000005E-3</v>
      </c>
      <c r="X7" s="108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42356</v>
      </c>
      <c r="Z7" s="5">
        <f>IFERROR(_xll.qlRateHelperPillarDate(U7,Trigger),"")</f>
        <v>42632</v>
      </c>
      <c r="AA7" s="81">
        <v>1.003461943705785</v>
      </c>
      <c r="AB7" s="190"/>
    </row>
    <row r="8" spans="1:36" ht="11.25" customHeight="1" x14ac:dyDescent="0.2">
      <c r="A8" s="62" t="s">
        <v>148</v>
      </c>
      <c r="B8" s="63" t="s">
        <v>40</v>
      </c>
      <c r="C8" s="64">
        <f t="shared" ref="C8:C21" si="3">IF(B8="O/N",0,IF(B8="T/N",1,2))</f>
        <v>2</v>
      </c>
      <c r="D8" s="129"/>
      <c r="E8" s="65" t="str">
        <f t="shared" ref="E8:E61" si="4">$E$1</f>
        <v>SekiborON</v>
      </c>
      <c r="F8" s="66" t="str">
        <f t="shared" si="2"/>
        <v>SEKOIS2W_Quote</v>
      </c>
      <c r="G8" s="129"/>
      <c r="H8" s="67"/>
      <c r="I8" s="51"/>
      <c r="J8" s="10" t="str">
        <f>A10</f>
        <v>OISShort</v>
      </c>
      <c r="K8" s="98" t="str">
        <f>IF(ISBLANK(H10),"--",H10)</f>
        <v>obj_0015e#0000</v>
      </c>
      <c r="L8" s="148" t="str">
        <f>IFERROR(_xll.qlRateHelperQuoteName(K8,Trigger),"--")</f>
        <v>SEKOIS1M_Quote</v>
      </c>
      <c r="M8" s="102">
        <f>IFERROR(_xll.qlRateHelperQuoteValue($K8,Trigger),"--")</f>
        <v>-4.1000000000000003E-3</v>
      </c>
      <c r="N8" s="101" t="b">
        <v>1</v>
      </c>
      <c r="O8" s="98">
        <v>50</v>
      </c>
      <c r="P8" s="98">
        <v>1</v>
      </c>
      <c r="Q8" s="103">
        <f>IFERROR(_xll.qlRateHelperEarliestDate(K8,Trigger),"--")</f>
        <v>42356</v>
      </c>
      <c r="R8" s="103">
        <f>IFERROR(_xll.qlRateHelperPillarDate(K8,Trigger),"--")</f>
        <v>42387</v>
      </c>
      <c r="T8" s="4" t="str">
        <f t="shared" si="1"/>
        <v>OIS</v>
      </c>
      <c r="U8" s="4" t="str">
        <v>obj_0010b</v>
      </c>
      <c r="V8" s="4" t="str">
        <f>IFERROR(_xll.qlRateHelperQuoteName(U8,Trigger),"")</f>
        <v>SEKOIS1Y_Quote</v>
      </c>
      <c r="W8" s="73">
        <f>IFERROR(_xll.qlRateHelperRate(U8,Trigger),"")</f>
        <v>-4.5499999999999994E-3</v>
      </c>
      <c r="X8" s="108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42356</v>
      </c>
      <c r="Z8" s="5">
        <f>IFERROR(_xll.qlRateHelperPillarDate(U8,Trigger),"")</f>
        <v>42723</v>
      </c>
      <c r="AA8" s="81">
        <v>1.0046600879105485</v>
      </c>
      <c r="AB8" s="190"/>
    </row>
    <row r="9" spans="1:36" ht="11.25" customHeight="1" x14ac:dyDescent="0.2">
      <c r="A9" s="62" t="s">
        <v>148</v>
      </c>
      <c r="B9" s="63" t="s">
        <v>41</v>
      </c>
      <c r="C9" s="64">
        <f t="shared" si="3"/>
        <v>2</v>
      </c>
      <c r="D9" s="129"/>
      <c r="E9" s="65" t="str">
        <f t="shared" si="4"/>
        <v>SekiborON</v>
      </c>
      <c r="F9" s="66" t="str">
        <f t="shared" si="2"/>
        <v>SEKOIS3W_Quote</v>
      </c>
      <c r="G9" s="129"/>
      <c r="H9" s="67"/>
      <c r="I9" s="51"/>
      <c r="J9" s="10" t="str">
        <f t="shared" ref="J9:J59" si="5">A11</f>
        <v>OISShort</v>
      </c>
      <c r="K9" s="98" t="str">
        <f t="shared" ref="K9:K59" si="6">IF(ISBLANK(H11),"--",H11)</f>
        <v>obj_0015d#0000</v>
      </c>
      <c r="L9" s="148" t="str">
        <f>IFERROR(_xll.qlRateHelperQuoteName(K9,Trigger),"--")</f>
        <v>SEKOIS2M_Quote</v>
      </c>
      <c r="M9" s="102">
        <f>IFERROR(_xll.qlRateHelperQuoteValue($K9,Trigger),"--")</f>
        <v>-4.2500000000000003E-3</v>
      </c>
      <c r="N9" s="101" t="b">
        <v>1</v>
      </c>
      <c r="O9" s="98">
        <v>50</v>
      </c>
      <c r="P9" s="98">
        <v>1</v>
      </c>
      <c r="Q9" s="103">
        <f>IFERROR(_xll.qlRateHelperEarliestDate(K9,Trigger),"--")</f>
        <v>42356</v>
      </c>
      <c r="R9" s="103">
        <f>IFERROR(_xll.qlRateHelperPillarDate(K9,Trigger),"--")</f>
        <v>42418</v>
      </c>
      <c r="T9" s="4" t="str">
        <f t="shared" si="1"/>
        <v>OIS</v>
      </c>
      <c r="U9" s="4" t="str">
        <v>obj_0015f</v>
      </c>
      <c r="V9" s="4" t="str">
        <f>IFERROR(_xll.qlRateHelperQuoteName(U9,Trigger),"")</f>
        <v>SEKOIS2Y_Quote</v>
      </c>
      <c r="W9" s="73">
        <f>IFERROR(_xll.qlRateHelperRate(U9,Trigger),"")</f>
        <v>-3.725E-3</v>
      </c>
      <c r="X9" s="108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42356</v>
      </c>
      <c r="Z9" s="5">
        <f>IFERROR(_xll.qlRateHelperPillarDate(U9,Trigger),"")</f>
        <v>43087</v>
      </c>
      <c r="AA9" s="81">
        <v>1.007610178697155</v>
      </c>
      <c r="AB9" s="190"/>
      <c r="AE9" s="49" t="s">
        <v>111</v>
      </c>
    </row>
    <row r="10" spans="1:36" ht="11.25" customHeight="1" x14ac:dyDescent="0.2">
      <c r="A10" s="62" t="s">
        <v>148</v>
      </c>
      <c r="B10" s="63" t="s">
        <v>2</v>
      </c>
      <c r="C10" s="64">
        <f t="shared" si="3"/>
        <v>2</v>
      </c>
      <c r="D10" s="129"/>
      <c r="E10" s="65" t="str">
        <f t="shared" si="4"/>
        <v>SekiborON</v>
      </c>
      <c r="F10" s="66" t="str">
        <f t="shared" si="2"/>
        <v>SEKOIS1M_Quote</v>
      </c>
      <c r="G10" s="129"/>
      <c r="H10" s="67" t="str">
        <f>_xll.qlOISRateHelper(,C10,B10,F10,$E10,,Permanent,Trigger,ObjectOverwrite)</f>
        <v>obj_0015e#0000</v>
      </c>
      <c r="I10" s="51"/>
      <c r="J10" s="10" t="str">
        <f t="shared" si="5"/>
        <v>OISShort</v>
      </c>
      <c r="K10" s="98" t="str">
        <f t="shared" si="6"/>
        <v>obj_00159#0000</v>
      </c>
      <c r="L10" s="148" t="str">
        <f>IFERROR(_xll.qlRateHelperQuoteName(K10,Trigger),"--")</f>
        <v>SEKOIS3M_Quote</v>
      </c>
      <c r="M10" s="102">
        <f>IFERROR(_xll.qlRateHelperQuoteValue($K10,Trigger),"--")</f>
        <v>-4.3000000000000009E-3</v>
      </c>
      <c r="N10" s="101" t="b">
        <v>1</v>
      </c>
      <c r="O10" s="98">
        <v>50</v>
      </c>
      <c r="P10" s="98">
        <v>1</v>
      </c>
      <c r="Q10" s="103">
        <f>IFERROR(_xll.qlRateHelperEarliestDate(K10,Trigger),"--")</f>
        <v>42356</v>
      </c>
      <c r="R10" s="103">
        <f>IFERROR(_xll.qlRateHelperPillarDate(K10,Trigger),"--")</f>
        <v>42447</v>
      </c>
      <c r="T10" s="4" t="str">
        <f t="shared" si="1"/>
        <v>OIS</v>
      </c>
      <c r="U10" s="4" t="str">
        <v>obj_00160</v>
      </c>
      <c r="V10" s="4" t="str">
        <f>IFERROR(_xll.qlRateHelperQuoteName(U10,Trigger),"")</f>
        <v>SEKOIS3Y_Quote</v>
      </c>
      <c r="W10" s="73">
        <f>IFERROR(_xll.qlRateHelperRate(U10,Trigger),"")</f>
        <v>-2.0249999999999999E-3</v>
      </c>
      <c r="X10" s="108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42356</v>
      </c>
      <c r="Z10" s="5">
        <f>IFERROR(_xll.qlRateHelperPillarDate(U10,Trigger),"")</f>
        <v>43452</v>
      </c>
      <c r="AA10" s="81">
        <v>1.0062029374157444</v>
      </c>
      <c r="AB10" s="190"/>
      <c r="AC10" s="77" t="s">
        <v>105</v>
      </c>
      <c r="AD10" s="77" t="s">
        <v>106</v>
      </c>
      <c r="AE10" s="77" t="s">
        <v>107</v>
      </c>
      <c r="AF10" s="77" t="s">
        <v>118</v>
      </c>
      <c r="AG10" s="77" t="s">
        <v>108</v>
      </c>
      <c r="AH10" s="77" t="s">
        <v>119</v>
      </c>
      <c r="AI10" s="77" t="s">
        <v>109</v>
      </c>
      <c r="AJ10" s="77" t="s">
        <v>110</v>
      </c>
    </row>
    <row r="11" spans="1:36" ht="11.25" customHeight="1" x14ac:dyDescent="0.2">
      <c r="A11" s="62" t="s">
        <v>148</v>
      </c>
      <c r="B11" s="63" t="s">
        <v>42</v>
      </c>
      <c r="C11" s="64">
        <f t="shared" si="3"/>
        <v>2</v>
      </c>
      <c r="D11" s="129"/>
      <c r="E11" s="65" t="str">
        <f t="shared" si="4"/>
        <v>SekiborON</v>
      </c>
      <c r="F11" s="66" t="str">
        <f t="shared" si="2"/>
        <v>SEKOIS2M_Quote</v>
      </c>
      <c r="G11" s="129"/>
      <c r="H11" s="67" t="str">
        <f>_xll.qlOISRateHelper(,C11,B11,F11,$E11,,Permanent,Trigger,ObjectOverwrite)</f>
        <v>obj_0015d#0000</v>
      </c>
      <c r="I11" s="51"/>
      <c r="J11" s="10" t="str">
        <f t="shared" si="5"/>
        <v>OISShort</v>
      </c>
      <c r="K11" s="98" t="str">
        <f t="shared" si="6"/>
        <v>--</v>
      </c>
      <c r="L11" s="148" t="str">
        <f>IFERROR(_xll.qlRateHelperQuoteName(K11,Trigger),"--")</f>
        <v>--</v>
      </c>
      <c r="M11" s="102" t="str">
        <f>IFERROR(_xll.qlRateHelperQuoteValue($K11,Trigger),"--")</f>
        <v>--</v>
      </c>
      <c r="N11" s="101" t="b">
        <v>0</v>
      </c>
      <c r="O11" s="98">
        <v>50</v>
      </c>
      <c r="P11" s="98">
        <v>1</v>
      </c>
      <c r="Q11" s="103" t="str">
        <f>IFERROR(_xll.qlRateHelperEarliestDate(K11,Trigger),"--")</f>
        <v>--</v>
      </c>
      <c r="R11" s="103" t="str">
        <f>IFERROR(_xll.qlRateHelperPillarDate(K11,Trigger),"--")</f>
        <v>--</v>
      </c>
      <c r="T11" s="4" t="str">
        <f t="shared" si="1"/>
        <v>OIS</v>
      </c>
      <c r="U11" s="4" t="str">
        <v>obj_0015c</v>
      </c>
      <c r="V11" s="4" t="str">
        <f>IFERROR(_xll.qlRateHelperQuoteName(U11,Trigger),"")</f>
        <v>SEKOIS4Y_Quote</v>
      </c>
      <c r="W11" s="73">
        <f>IFERROR(_xll.qlRateHelperRate(U11,Trigger),"")</f>
        <v>-7.4999999999999993E-5</v>
      </c>
      <c r="X11" s="108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42356</v>
      </c>
      <c r="Z11" s="5">
        <f>IFERROR(_xll.qlRateHelperPillarDate(U11,Trigger),"")</f>
        <v>43817</v>
      </c>
      <c r="AA11" s="81">
        <v>1.0003058033432679</v>
      </c>
      <c r="AB11" s="190"/>
      <c r="AC11" s="161">
        <v>1</v>
      </c>
      <c r="AD11" s="162">
        <f>_xll.qlCalendarEndOfMonth(Calendar,Settlementdate,Trigger)</f>
        <v>42368</v>
      </c>
      <c r="AE11" s="161" t="str">
        <f t="shared" ref="AE11:AE23" si="7">Currency&amp;$AE$9&amp;AC11&amp;JumpSuffix&amp;QuoteSuffix</f>
        <v>SEKJump1_SYNTHON_Quote</v>
      </c>
      <c r="AF11" s="194">
        <f>_xll.qlDayCounterYearFraction("actual/360",AD11,_xll.qlCalendarAdvance(Calendar,AD11,"1D",,,Trigger))</f>
        <v>1.3888888888888888E-2</v>
      </c>
      <c r="AG11" s="163" t="e">
        <f>IF(_xll.qlQuoteIsValid(AE11,Trigger),_xll.qlQuoteValue(AE11,Trigger),1)</f>
        <v>#NUM!</v>
      </c>
      <c r="AH11" s="197" t="e">
        <f>-LN(AG11)/AF11</f>
        <v>#NUM!</v>
      </c>
      <c r="AI11" s="202">
        <v>0</v>
      </c>
      <c r="AJ11" s="163">
        <f>IF(ISBLANK(AI11),AE11,EXP(-AI11*AF11))</f>
        <v>1</v>
      </c>
    </row>
    <row r="12" spans="1:36" ht="11.25" customHeight="1" x14ac:dyDescent="0.2">
      <c r="A12" s="62" t="s">
        <v>148</v>
      </c>
      <c r="B12" s="63" t="s">
        <v>0</v>
      </c>
      <c r="C12" s="64">
        <f t="shared" si="3"/>
        <v>2</v>
      </c>
      <c r="D12" s="129"/>
      <c r="E12" s="65" t="str">
        <f t="shared" si="4"/>
        <v>SekiborON</v>
      </c>
      <c r="F12" s="66" t="str">
        <f t="shared" si="2"/>
        <v>SEKOIS3M_Quote</v>
      </c>
      <c r="G12" s="129"/>
      <c r="H12" s="67" t="str">
        <f>_xll.qlOISRateHelper(,C12,B12,F12,$E12,,Permanent,Trigger,ObjectOverwrite)</f>
        <v>obj_00159#0000</v>
      </c>
      <c r="I12" s="51"/>
      <c r="J12" s="10" t="str">
        <f t="shared" si="5"/>
        <v>OISShort</v>
      </c>
      <c r="K12" s="98" t="str">
        <f t="shared" si="6"/>
        <v>--</v>
      </c>
      <c r="L12" s="148" t="str">
        <f>IFERROR(_xll.qlRateHelperQuoteName(K12,Trigger),"--")</f>
        <v>--</v>
      </c>
      <c r="M12" s="102" t="str">
        <f>IFERROR(_xll.qlRateHelperQuoteValue($K12,Trigger),"--")</f>
        <v>--</v>
      </c>
      <c r="N12" s="101" t="b">
        <v>0</v>
      </c>
      <c r="O12" s="98">
        <v>50</v>
      </c>
      <c r="P12" s="98">
        <v>1</v>
      </c>
      <c r="Q12" s="103" t="str">
        <f>IFERROR(_xll.qlRateHelperEarliestDate(K12,Trigger),"--")</f>
        <v>--</v>
      </c>
      <c r="R12" s="103" t="str">
        <f>IFERROR(_xll.qlRateHelperPillarDate(K12,Trigger),"--")</f>
        <v>--</v>
      </c>
      <c r="T12" s="4" t="str">
        <f t="shared" si="1"/>
        <v>OIS</v>
      </c>
      <c r="U12" s="4" t="str">
        <v>obj_00138</v>
      </c>
      <c r="V12" s="4" t="str">
        <f>IFERROR(_xll.qlRateHelperQuoteName(U12,Trigger),"")</f>
        <v>SEKOIS5Y_Quote</v>
      </c>
      <c r="W12" s="73">
        <f>IFERROR(_xll.qlRateHelperRate(U12,Trigger),"")</f>
        <v>2.3999999999999998E-3</v>
      </c>
      <c r="X12" s="108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42356</v>
      </c>
      <c r="Z12" s="5">
        <f>IFERROR(_xll.qlRateHelperPillarDate(U12,Trigger),"")</f>
        <v>44183</v>
      </c>
      <c r="AA12" s="81">
        <v>0.98780405113066794</v>
      </c>
      <c r="AB12" s="190"/>
      <c r="AC12" s="164">
        <v>2</v>
      </c>
      <c r="AD12" s="165">
        <f>_xll.qlCalendarEndOfMonth(Calendar,_xll.qlCalendarAdvance(Calendar,AD11,"1m","mf",TRUE),Trigger)</f>
        <v>42398</v>
      </c>
      <c r="AE12" s="164" t="str">
        <f t="shared" si="7"/>
        <v>SEKJump2_SYNTHON_Quote</v>
      </c>
      <c r="AF12" s="195">
        <f>_xll.qlDayCounterYearFraction("actual/360",AD12,_xll.qlCalendarAdvance(Calendar,AD12,"1D",,,Trigger))</f>
        <v>8.3333333333333332E-3</v>
      </c>
      <c r="AG12" s="166" t="e">
        <f>IF(_xll.qlQuoteIsValid(AE12,Trigger),_xll.qlQuoteValue(AE12,Trigger),1)</f>
        <v>#NUM!</v>
      </c>
      <c r="AH12" s="198" t="e">
        <f t="shared" ref="AH12:AH23" si="8">-LN(AG12)/AF12</f>
        <v>#NUM!</v>
      </c>
      <c r="AI12" s="203">
        <v>0</v>
      </c>
      <c r="AJ12" s="166">
        <f t="shared" ref="AJ12:AJ23" si="9">IF(ISBLANK(AI12),AE12,EXP(-AI12*AF12))</f>
        <v>1</v>
      </c>
    </row>
    <row r="13" spans="1:36" ht="11.25" customHeight="1" x14ac:dyDescent="0.2">
      <c r="A13" s="62" t="s">
        <v>148</v>
      </c>
      <c r="B13" s="63" t="s">
        <v>43</v>
      </c>
      <c r="C13" s="64">
        <f t="shared" si="3"/>
        <v>2</v>
      </c>
      <c r="D13" s="129"/>
      <c r="E13" s="65" t="str">
        <f t="shared" si="4"/>
        <v>SekiborON</v>
      </c>
      <c r="F13" s="66" t="str">
        <f t="shared" si="2"/>
        <v>SEKOIS4M_Quote</v>
      </c>
      <c r="G13" s="129"/>
      <c r="H13" s="67"/>
      <c r="I13" s="51"/>
      <c r="J13" s="10" t="str">
        <f t="shared" si="5"/>
        <v>OISShort</v>
      </c>
      <c r="K13" s="98" t="str">
        <f t="shared" si="6"/>
        <v>obj_0015b#0000</v>
      </c>
      <c r="L13" s="148" t="str">
        <f>IFERROR(_xll.qlRateHelperQuoteName(K13,Trigger),"--")</f>
        <v>SEKOIS6M_Quote</v>
      </c>
      <c r="M13" s="102">
        <f>IFERROR(_xll.qlRateHelperQuoteValue($K13,Trigger),"--")</f>
        <v>-4.5000000000000005E-3</v>
      </c>
      <c r="N13" s="101" t="b">
        <v>1</v>
      </c>
      <c r="O13" s="98">
        <v>50</v>
      </c>
      <c r="P13" s="98">
        <v>1</v>
      </c>
      <c r="Q13" s="103">
        <f>IFERROR(_xll.qlRateHelperEarliestDate(K13,Trigger),"--")</f>
        <v>42356</v>
      </c>
      <c r="R13" s="103">
        <f>IFERROR(_xll.qlRateHelperPillarDate(K13,Trigger),"--")</f>
        <v>42541</v>
      </c>
      <c r="T13" s="4" t="str">
        <f t="shared" si="1"/>
        <v>OIS</v>
      </c>
      <c r="U13" s="4" t="str">
        <v>obj_00135</v>
      </c>
      <c r="V13" s="4" t="str">
        <f>IFERROR(_xll.qlRateHelperQuoteName(U13,Trigger),"")</f>
        <v>SEKOIS6Y_Quote</v>
      </c>
      <c r="W13" s="73">
        <f>IFERROR(_xll.qlRateHelperRate(U13,Trigger),"")</f>
        <v>4.7499999999999999E-3</v>
      </c>
      <c r="X13" s="108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42356</v>
      </c>
      <c r="Z13" s="5">
        <f>IFERROR(_xll.qlRateHelperPillarDate(U13,Trigger),"")</f>
        <v>44550</v>
      </c>
      <c r="AA13" s="81">
        <v>0.97115947963258709</v>
      </c>
      <c r="AB13" s="190"/>
      <c r="AC13" s="164">
        <v>3</v>
      </c>
      <c r="AD13" s="165">
        <f>_xll.qlCalendarEndOfMonth(Calendar,_xll.qlCalendarAdvance(Calendar,AD12,"1m","mf",TRUE),Trigger)</f>
        <v>42429</v>
      </c>
      <c r="AE13" s="164" t="str">
        <f t="shared" si="7"/>
        <v>SEKJump3_SYNTHON_Quote</v>
      </c>
      <c r="AF13" s="195">
        <f>_xll.qlDayCounterYearFraction("actual/360",AD13,_xll.qlCalendarAdvance(Calendar,AD13,"1D",,,Trigger))</f>
        <v>2.7777777777777779E-3</v>
      </c>
      <c r="AG13" s="166" t="e">
        <f>IF(_xll.qlQuoteIsValid(AE13,Trigger),_xll.qlQuoteValue(AE13,Trigger),1)</f>
        <v>#NUM!</v>
      </c>
      <c r="AH13" s="198" t="e">
        <f t="shared" si="8"/>
        <v>#NUM!</v>
      </c>
      <c r="AI13" s="203">
        <v>0</v>
      </c>
      <c r="AJ13" s="166">
        <f t="shared" si="9"/>
        <v>1</v>
      </c>
    </row>
    <row r="14" spans="1:36" ht="11.25" customHeight="1" x14ac:dyDescent="0.2">
      <c r="A14" s="62" t="s">
        <v>148</v>
      </c>
      <c r="B14" s="63" t="s">
        <v>44</v>
      </c>
      <c r="C14" s="64">
        <f t="shared" si="3"/>
        <v>2</v>
      </c>
      <c r="D14" s="129"/>
      <c r="E14" s="65" t="str">
        <f t="shared" si="4"/>
        <v>SekiborON</v>
      </c>
      <c r="F14" s="66" t="str">
        <f t="shared" si="2"/>
        <v>SEKOIS5M_Quote</v>
      </c>
      <c r="G14" s="129"/>
      <c r="H14" s="67"/>
      <c r="I14" s="51"/>
      <c r="J14" s="10" t="str">
        <f t="shared" si="5"/>
        <v>OISShort</v>
      </c>
      <c r="K14" s="98" t="str">
        <f t="shared" si="6"/>
        <v>--</v>
      </c>
      <c r="L14" s="148" t="str">
        <f>IFERROR(_xll.qlRateHelperQuoteName(K14,Trigger),"--")</f>
        <v>--</v>
      </c>
      <c r="M14" s="102" t="str">
        <f>IFERROR(_xll.qlRateHelperQuoteValue($K14,Trigger),"--")</f>
        <v>--</v>
      </c>
      <c r="N14" s="101" t="b">
        <v>0</v>
      </c>
      <c r="O14" s="98">
        <v>50</v>
      </c>
      <c r="P14" s="98">
        <v>1</v>
      </c>
      <c r="Q14" s="103" t="str">
        <f>IFERROR(_xll.qlRateHelperEarliestDate(K14,Trigger),"--")</f>
        <v>--</v>
      </c>
      <c r="R14" s="103" t="str">
        <f>IFERROR(_xll.qlRateHelperPillarDate(K14,Trigger),"--")</f>
        <v>--</v>
      </c>
      <c r="T14" s="4" t="str">
        <f t="shared" si="1"/>
        <v>OIS</v>
      </c>
      <c r="U14" s="4" t="str">
        <v>obj_00113</v>
      </c>
      <c r="V14" s="4" t="str">
        <f>IFERROR(_xll.qlRateHelperQuoteName(U14,Trigger),"")</f>
        <v>SEKOIS7Y_Quote</v>
      </c>
      <c r="W14" s="73">
        <f>IFERROR(_xll.qlRateHelperRate(U14,Trigger),"")</f>
        <v>6.8499999999999993E-3</v>
      </c>
      <c r="X14" s="108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42356</v>
      </c>
      <c r="Z14" s="5">
        <f>IFERROR(_xll.qlRateHelperPillarDate(U14,Trigger),"")</f>
        <v>44914</v>
      </c>
      <c r="AA14" s="81">
        <v>0.95181654662661153</v>
      </c>
      <c r="AB14" s="190"/>
      <c r="AC14" s="164">
        <v>4</v>
      </c>
      <c r="AD14" s="165">
        <f>_xll.qlCalendarEndOfMonth(Calendar,_xll.qlCalendarAdvance(Calendar,AD13,"1m","mf",TRUE),Trigger)</f>
        <v>42460</v>
      </c>
      <c r="AE14" s="164" t="str">
        <f t="shared" si="7"/>
        <v>SEKJump4_SYNTHON_Quote</v>
      </c>
      <c r="AF14" s="195">
        <f>_xll.qlDayCounterYearFraction("actual/360",AD14,_xll.qlCalendarAdvance(Calendar,AD14,"1D",,,Trigger))</f>
        <v>2.7777777777777779E-3</v>
      </c>
      <c r="AG14" s="166" t="e">
        <f>IF(_xll.qlQuoteIsValid(AE14,Trigger),_xll.qlQuoteValue(AE14,Trigger),1)</f>
        <v>#NUM!</v>
      </c>
      <c r="AH14" s="198" t="e">
        <f t="shared" si="8"/>
        <v>#NUM!</v>
      </c>
      <c r="AI14" s="203">
        <v>0</v>
      </c>
      <c r="AJ14" s="166">
        <f t="shared" si="9"/>
        <v>1</v>
      </c>
    </row>
    <row r="15" spans="1:36" ht="11.25" customHeight="1" x14ac:dyDescent="0.2">
      <c r="A15" s="62" t="s">
        <v>148</v>
      </c>
      <c r="B15" s="63" t="s">
        <v>3</v>
      </c>
      <c r="C15" s="64">
        <f t="shared" si="3"/>
        <v>2</v>
      </c>
      <c r="D15" s="129"/>
      <c r="E15" s="65" t="str">
        <f t="shared" si="4"/>
        <v>SekiborON</v>
      </c>
      <c r="F15" s="66" t="str">
        <f t="shared" si="2"/>
        <v>SEKOIS6M_Quote</v>
      </c>
      <c r="G15" s="129"/>
      <c r="H15" s="67" t="str">
        <f>_xll.qlOISRateHelper(,C15,B15,F15,$E15,,Permanent,Trigger,ObjectOverwrite)</f>
        <v>obj_0015b#0000</v>
      </c>
      <c r="I15" s="51"/>
      <c r="J15" s="10" t="str">
        <f t="shared" si="5"/>
        <v>OISShort</v>
      </c>
      <c r="K15" s="98" t="str">
        <f t="shared" si="6"/>
        <v>--</v>
      </c>
      <c r="L15" s="148" t="str">
        <f>IFERROR(_xll.qlRateHelperQuoteName(K15,Trigger),"--")</f>
        <v>--</v>
      </c>
      <c r="M15" s="102" t="str">
        <f>IFERROR(_xll.qlRateHelperQuoteValue($K15,Trigger),"--")</f>
        <v>--</v>
      </c>
      <c r="N15" s="101" t="b">
        <v>0</v>
      </c>
      <c r="O15" s="98">
        <v>50</v>
      </c>
      <c r="P15" s="98">
        <v>1</v>
      </c>
      <c r="Q15" s="103" t="str">
        <f>IFERROR(_xll.qlRateHelperEarliestDate(K15,Trigger),"--")</f>
        <v>--</v>
      </c>
      <c r="R15" s="103" t="str">
        <f>IFERROR(_xll.qlRateHelperPillarDate(K15,Trigger),"--")</f>
        <v>--</v>
      </c>
      <c r="T15" s="4" t="str">
        <f t="shared" si="1"/>
        <v>OIS</v>
      </c>
      <c r="U15" s="4" t="str">
        <v>obj_00139</v>
      </c>
      <c r="V15" s="4" t="str">
        <f>IFERROR(_xll.qlRateHelperQuoteName(U15,Trigger),"")</f>
        <v>SEKOIS8Y_Quote</v>
      </c>
      <c r="W15" s="73">
        <f>IFERROR(_xll.qlRateHelperRate(U15,Trigger),"")</f>
        <v>8.6750000000000004E-3</v>
      </c>
      <c r="X15" s="108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42356</v>
      </c>
      <c r="Z15" s="5">
        <f>IFERROR(_xll.qlRateHelperPillarDate(U15,Trigger),"")</f>
        <v>45278</v>
      </c>
      <c r="AA15" s="81">
        <v>0.93081481050850789</v>
      </c>
      <c r="AB15" s="190"/>
      <c r="AC15" s="164">
        <v>5</v>
      </c>
      <c r="AD15" s="165">
        <f>_xll.qlCalendarEndOfMonth(Calendar,_xll.qlCalendarAdvance(Calendar,AD14,"1m","mf",TRUE),Trigger)</f>
        <v>42489</v>
      </c>
      <c r="AE15" s="164" t="str">
        <f t="shared" si="7"/>
        <v>SEKJump5_SYNTHON_Quote</v>
      </c>
      <c r="AF15" s="195">
        <f>_xll.qlDayCounterYearFraction("actual/360",AD15,_xll.qlCalendarAdvance(Calendar,AD15,"1D",,,Trigger))</f>
        <v>8.3333333333333332E-3</v>
      </c>
      <c r="AG15" s="166" t="e">
        <f>IF(_xll.qlQuoteIsValid(AE15,Trigger),_xll.qlQuoteValue(AE15,Trigger),1)</f>
        <v>#NUM!</v>
      </c>
      <c r="AH15" s="198" t="e">
        <f t="shared" si="8"/>
        <v>#NUM!</v>
      </c>
      <c r="AI15" s="203">
        <v>0</v>
      </c>
      <c r="AJ15" s="166">
        <f t="shared" si="9"/>
        <v>1</v>
      </c>
    </row>
    <row r="16" spans="1:36" ht="11.25" customHeight="1" x14ac:dyDescent="0.2">
      <c r="A16" s="62" t="s">
        <v>148</v>
      </c>
      <c r="B16" s="63" t="s">
        <v>45</v>
      </c>
      <c r="C16" s="64">
        <f t="shared" si="3"/>
        <v>2</v>
      </c>
      <c r="D16" s="129"/>
      <c r="E16" s="65" t="str">
        <f t="shared" si="4"/>
        <v>SekiborON</v>
      </c>
      <c r="F16" s="66" t="str">
        <f t="shared" si="2"/>
        <v>SEKOIS7M_Quote</v>
      </c>
      <c r="G16" s="129"/>
      <c r="H16" s="67"/>
      <c r="I16" s="51"/>
      <c r="J16" s="10" t="str">
        <f t="shared" si="5"/>
        <v>OISShort</v>
      </c>
      <c r="K16" s="98" t="str">
        <f t="shared" si="6"/>
        <v>obj_0015a#0000</v>
      </c>
      <c r="L16" s="148" t="str">
        <f>IFERROR(_xll.qlRateHelperQuoteName(K16,Trigger),"--")</f>
        <v>SEKOIS9M_Quote</v>
      </c>
      <c r="M16" s="102">
        <f>IFERROR(_xll.qlRateHelperQuoteValue($K16,Trigger),"--")</f>
        <v>-4.5000000000000005E-3</v>
      </c>
      <c r="N16" s="101" t="b">
        <v>1</v>
      </c>
      <c r="O16" s="98">
        <v>50</v>
      </c>
      <c r="P16" s="98">
        <v>1</v>
      </c>
      <c r="Q16" s="103">
        <f>IFERROR(_xll.qlRateHelperEarliestDate(K16,Trigger),"--")</f>
        <v>42356</v>
      </c>
      <c r="R16" s="103">
        <f>IFERROR(_xll.qlRateHelperPillarDate(K16,Trigger),"--")</f>
        <v>42632</v>
      </c>
      <c r="T16" s="4" t="str">
        <f t="shared" si="1"/>
        <v>OIS</v>
      </c>
      <c r="U16" s="4" t="str">
        <v>obj_0012f</v>
      </c>
      <c r="V16" s="4" t="str">
        <f>IFERROR(_xll.qlRateHelperQuoteName(U16,Trigger),"")</f>
        <v>SEKOIS9Y_Quote</v>
      </c>
      <c r="W16" s="73">
        <f>IFERROR(_xll.qlRateHelperRate(U16,Trigger),"")</f>
        <v>1.0275000000000001E-2</v>
      </c>
      <c r="X16" s="108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42356</v>
      </c>
      <c r="Z16" s="5">
        <f>IFERROR(_xll.qlRateHelperPillarDate(U16,Trigger),"")</f>
        <v>45644</v>
      </c>
      <c r="AA16" s="81">
        <v>0.90856334984443066</v>
      </c>
      <c r="AB16" s="190"/>
      <c r="AC16" s="164">
        <v>6</v>
      </c>
      <c r="AD16" s="165">
        <f>_xll.qlCalendarEndOfMonth(Calendar,_xll.qlCalendarAdvance(Calendar,AD15,"1m","mf",TRUE),Trigger)</f>
        <v>42521</v>
      </c>
      <c r="AE16" s="164" t="str">
        <f t="shared" si="7"/>
        <v>SEKJump6_SYNTHON_Quote</v>
      </c>
      <c r="AF16" s="195">
        <f>_xll.qlDayCounterYearFraction("actual/360",AD16,_xll.qlCalendarAdvance(Calendar,AD16,"1D",,,Trigger))</f>
        <v>2.7777777777777779E-3</v>
      </c>
      <c r="AG16" s="166" t="e">
        <f>IF(_xll.qlQuoteIsValid(AE16,Trigger),_xll.qlQuoteValue(AE16,Trigger),1)</f>
        <v>#NUM!</v>
      </c>
      <c r="AH16" s="198" t="e">
        <f t="shared" si="8"/>
        <v>#NUM!</v>
      </c>
      <c r="AI16" s="203">
        <v>0</v>
      </c>
      <c r="AJ16" s="166">
        <f t="shared" si="9"/>
        <v>1</v>
      </c>
    </row>
    <row r="17" spans="1:36" ht="11.25" customHeight="1" x14ac:dyDescent="0.2">
      <c r="A17" s="62" t="s">
        <v>148</v>
      </c>
      <c r="B17" s="63" t="s">
        <v>46</v>
      </c>
      <c r="C17" s="64">
        <f t="shared" si="3"/>
        <v>2</v>
      </c>
      <c r="D17" s="129"/>
      <c r="E17" s="65" t="str">
        <f t="shared" si="4"/>
        <v>SekiborON</v>
      </c>
      <c r="F17" s="66" t="str">
        <f t="shared" si="2"/>
        <v>SEKOIS8M_Quote</v>
      </c>
      <c r="G17" s="129"/>
      <c r="H17" s="67"/>
      <c r="I17" s="51"/>
      <c r="J17" s="10" t="str">
        <f t="shared" si="5"/>
        <v>OISShort</v>
      </c>
      <c r="K17" s="98" t="str">
        <f t="shared" si="6"/>
        <v>--</v>
      </c>
      <c r="L17" s="148" t="str">
        <f>IFERROR(_xll.qlRateHelperQuoteName(K17,Trigger),"--")</f>
        <v>--</v>
      </c>
      <c r="M17" s="102" t="str">
        <f>IFERROR(_xll.qlRateHelperQuoteValue($K17,Trigger),"--")</f>
        <v>--</v>
      </c>
      <c r="N17" s="101" t="b">
        <v>0</v>
      </c>
      <c r="O17" s="98">
        <v>50</v>
      </c>
      <c r="P17" s="98">
        <v>1</v>
      </c>
      <c r="Q17" s="103" t="str">
        <f>IFERROR(_xll.qlRateHelperEarliestDate(K17,Trigger),"--")</f>
        <v>--</v>
      </c>
      <c r="R17" s="103" t="str">
        <f>IFERROR(_xll.qlRateHelperPillarDate(K17,Trigger),"--")</f>
        <v>--</v>
      </c>
      <c r="T17" s="4" t="str">
        <f t="shared" si="1"/>
        <v>OIS</v>
      </c>
      <c r="U17" s="4" t="str">
        <v>obj_00132</v>
      </c>
      <c r="V17" s="4" t="str">
        <f>IFERROR(_xll.qlRateHelperQuoteName(U17,Trigger),"")</f>
        <v>SEKOIS10Y_Quote</v>
      </c>
      <c r="W17" s="73">
        <f>IFERROR(_xll.qlRateHelperRate(U17,Trigger),"")</f>
        <v>1.1699999999999999E-2</v>
      </c>
      <c r="X17" s="108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42356</v>
      </c>
      <c r="Z17" s="5">
        <f>IFERROR(_xll.qlRateHelperPillarDate(U17,Trigger),"")</f>
        <v>46009</v>
      </c>
      <c r="AA17" s="81">
        <v>0.88537953977677897</v>
      </c>
      <c r="AB17" s="190"/>
      <c r="AC17" s="164">
        <v>7</v>
      </c>
      <c r="AD17" s="165">
        <f>_xll.qlCalendarEndOfMonth(Calendar,_xll.qlCalendarAdvance(Calendar,AD16,"1m","mf",TRUE),Trigger)</f>
        <v>42551</v>
      </c>
      <c r="AE17" s="164" t="str">
        <f t="shared" si="7"/>
        <v>SEKJump7_SYNTHON_Quote</v>
      </c>
      <c r="AF17" s="195">
        <f>_xll.qlDayCounterYearFraction("actual/360",AD17,_xll.qlCalendarAdvance(Calendar,AD17,"1D",,,Trigger))</f>
        <v>2.7777777777777779E-3</v>
      </c>
      <c r="AG17" s="166" t="e">
        <f>IF(_xll.qlQuoteIsValid(AE17,Trigger),_xll.qlQuoteValue(AE17,Trigger),1)</f>
        <v>#NUM!</v>
      </c>
      <c r="AH17" s="198" t="e">
        <f t="shared" si="8"/>
        <v>#NUM!</v>
      </c>
      <c r="AI17" s="203">
        <v>0</v>
      </c>
      <c r="AJ17" s="166">
        <f t="shared" si="9"/>
        <v>1</v>
      </c>
    </row>
    <row r="18" spans="1:36" ht="11.25" customHeight="1" x14ac:dyDescent="0.2">
      <c r="A18" s="62" t="s">
        <v>148</v>
      </c>
      <c r="B18" s="63" t="s">
        <v>47</v>
      </c>
      <c r="C18" s="64">
        <f t="shared" si="3"/>
        <v>2</v>
      </c>
      <c r="D18" s="129"/>
      <c r="E18" s="65" t="str">
        <f t="shared" si="4"/>
        <v>SekiborON</v>
      </c>
      <c r="F18" s="66" t="str">
        <f t="shared" si="2"/>
        <v>SEKOIS9M_Quote</v>
      </c>
      <c r="G18" s="129"/>
      <c r="H18" s="67" t="str">
        <f>_xll.qlOISRateHelper(,C18,B18,F18,$E18,,Permanent,Trigger,ObjectOverwrite)</f>
        <v>obj_0015a#0000</v>
      </c>
      <c r="I18" s="51"/>
      <c r="J18" s="10" t="str">
        <f t="shared" si="5"/>
        <v>OISShort</v>
      </c>
      <c r="K18" s="98" t="str">
        <f t="shared" si="6"/>
        <v>--</v>
      </c>
      <c r="L18" s="148" t="str">
        <f>IFERROR(_xll.qlRateHelperQuoteName(K18,Trigger),"--")</f>
        <v>--</v>
      </c>
      <c r="M18" s="102" t="str">
        <f>IFERROR(_xll.qlRateHelperQuoteValue($K18,Trigger),"--")</f>
        <v>--</v>
      </c>
      <c r="N18" s="101" t="b">
        <v>0</v>
      </c>
      <c r="O18" s="98">
        <v>50</v>
      </c>
      <c r="P18" s="98">
        <v>1</v>
      </c>
      <c r="Q18" s="103" t="str">
        <f>IFERROR(_xll.qlRateHelperEarliestDate(K18,Trigger),"--")</f>
        <v>--</v>
      </c>
      <c r="R18" s="103" t="str">
        <f>IFERROR(_xll.qlRateHelperPillarDate(K18,Trigger),"--")</f>
        <v>--</v>
      </c>
      <c r="T18" s="4" t="str">
        <f t="shared" si="1"/>
        <v>OIS</v>
      </c>
      <c r="U18" s="4" t="str">
        <v>obj_0012d</v>
      </c>
      <c r="V18" s="4" t="str">
        <f>IFERROR(_xll.qlRateHelperQuoteName(U18,Trigger),"")</f>
        <v>SEKOIS12Y_Quote</v>
      </c>
      <c r="W18" s="73">
        <f>IFERROR(_xll.qlRateHelperRate(U18,Trigger),"")</f>
        <v>1.405E-2</v>
      </c>
      <c r="X18" s="108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42356</v>
      </c>
      <c r="Z18" s="5">
        <f>IFERROR(_xll.qlRateHelperPillarDate(U18,Trigger),"")</f>
        <v>46741</v>
      </c>
      <c r="AA18" s="81">
        <v>0.83807660458263999</v>
      </c>
      <c r="AB18" s="190"/>
      <c r="AC18" s="164">
        <v>8</v>
      </c>
      <c r="AD18" s="165">
        <f>_xll.qlCalendarEndOfMonth(Calendar,_xll.qlCalendarAdvance(Calendar,AD17,"1m","mf",TRUE),Trigger)</f>
        <v>42580</v>
      </c>
      <c r="AE18" s="164" t="str">
        <f t="shared" si="7"/>
        <v>SEKJump8_SYNTHON_Quote</v>
      </c>
      <c r="AF18" s="195">
        <f>_xll.qlDayCounterYearFraction("actual/360",AD18,_xll.qlCalendarAdvance(Calendar,AD18,"1D",,,Trigger))</f>
        <v>8.3333333333333332E-3</v>
      </c>
      <c r="AG18" s="166" t="e">
        <f>IF(_xll.qlQuoteIsValid(AE18,Trigger),_xll.qlQuoteValue(AE18,Trigger),1)</f>
        <v>#NUM!</v>
      </c>
      <c r="AH18" s="198" t="e">
        <f t="shared" si="8"/>
        <v>#NUM!</v>
      </c>
      <c r="AI18" s="203">
        <v>0</v>
      </c>
      <c r="AJ18" s="166">
        <f t="shared" si="9"/>
        <v>1</v>
      </c>
    </row>
    <row r="19" spans="1:36" ht="11.25" customHeight="1" x14ac:dyDescent="0.2">
      <c r="A19" s="62" t="s">
        <v>148</v>
      </c>
      <c r="B19" s="63" t="s">
        <v>48</v>
      </c>
      <c r="C19" s="64">
        <f t="shared" si="3"/>
        <v>2</v>
      </c>
      <c r="D19" s="129"/>
      <c r="E19" s="65" t="str">
        <f t="shared" si="4"/>
        <v>SekiborON</v>
      </c>
      <c r="F19" s="66" t="str">
        <f t="shared" si="2"/>
        <v>SEKOIS10M_Quote</v>
      </c>
      <c r="G19" s="129"/>
      <c r="H19" s="67"/>
      <c r="I19" s="51"/>
      <c r="J19" s="10" t="str">
        <f t="shared" si="5"/>
        <v>OISShort</v>
      </c>
      <c r="K19" s="98" t="str">
        <f t="shared" si="6"/>
        <v>--</v>
      </c>
      <c r="L19" s="148" t="str">
        <f>IFERROR(_xll.qlRateHelperQuoteName(K19,Trigger),"--")</f>
        <v>--</v>
      </c>
      <c r="M19" s="102" t="str">
        <f>IFERROR(_xll.qlRateHelperQuoteValue($K19,Trigger),"--")</f>
        <v>--</v>
      </c>
      <c r="N19" s="101" t="b">
        <v>0</v>
      </c>
      <c r="O19" s="98">
        <v>50</v>
      </c>
      <c r="P19" s="98">
        <v>1</v>
      </c>
      <c r="Q19" s="103" t="str">
        <f>IFERROR(_xll.qlRateHelperEarliestDate(K19,Trigger),"--")</f>
        <v>--</v>
      </c>
      <c r="R19" s="103" t="str">
        <f>IFERROR(_xll.qlRateHelperPillarDate(K19,Trigger),"--")</f>
        <v>--</v>
      </c>
      <c r="T19" s="4" t="str">
        <f t="shared" si="1"/>
        <v>OIS</v>
      </c>
      <c r="U19" s="4" t="str">
        <v>obj_00134</v>
      </c>
      <c r="V19" s="4" t="str">
        <f>IFERROR(_xll.qlRateHelperQuoteName(U19,Trigger),"")</f>
        <v>SEKOIS15Y_Quote</v>
      </c>
      <c r="W19" s="73">
        <f>IFERROR(_xll.qlRateHelperRate(U19,Trigger),"")</f>
        <v>1.6674999999999999E-2</v>
      </c>
      <c r="X19" s="108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42356</v>
      </c>
      <c r="Z19" s="5">
        <f>IFERROR(_xll.qlRateHelperPillarDate(U19,Trigger),"")</f>
        <v>47835</v>
      </c>
      <c r="AA19" s="81">
        <v>0.76773610609940746</v>
      </c>
      <c r="AB19" s="190"/>
      <c r="AC19" s="164">
        <v>9</v>
      </c>
      <c r="AD19" s="165">
        <f>_xll.qlCalendarEndOfMonth(Calendar,_xll.qlCalendarAdvance(Calendar,AD18,"1m","mf",TRUE),Trigger)</f>
        <v>42613</v>
      </c>
      <c r="AE19" s="164" t="str">
        <f t="shared" si="7"/>
        <v>SEKJump9_SYNTHON_Quote</v>
      </c>
      <c r="AF19" s="195">
        <f>_xll.qlDayCounterYearFraction("actual/360",AD19,_xll.qlCalendarAdvance(Calendar,AD19,"1D",,,Trigger))</f>
        <v>2.7777777777777779E-3</v>
      </c>
      <c r="AG19" s="166" t="e">
        <f>IF(_xll.qlQuoteIsValid(AE19,Trigger),_xll.qlQuoteValue(AE19,Trigger),1)</f>
        <v>#NUM!</v>
      </c>
      <c r="AH19" s="198" t="e">
        <f t="shared" si="8"/>
        <v>#NUM!</v>
      </c>
      <c r="AI19" s="203">
        <v>0</v>
      </c>
      <c r="AJ19" s="166">
        <f t="shared" si="9"/>
        <v>1</v>
      </c>
    </row>
    <row r="20" spans="1:36" ht="11.25" customHeight="1" x14ac:dyDescent="0.2">
      <c r="A20" s="62" t="s">
        <v>148</v>
      </c>
      <c r="B20" s="63" t="s">
        <v>49</v>
      </c>
      <c r="C20" s="64">
        <f t="shared" si="3"/>
        <v>2</v>
      </c>
      <c r="D20" s="129"/>
      <c r="E20" s="65" t="str">
        <f t="shared" si="4"/>
        <v>SekiborON</v>
      </c>
      <c r="F20" s="66" t="str">
        <f t="shared" si="2"/>
        <v>SEKOIS11M_Quote</v>
      </c>
      <c r="G20" s="129"/>
      <c r="H20" s="67"/>
      <c r="I20" s="51"/>
      <c r="J20" s="10" t="str">
        <f t="shared" si="5"/>
        <v>OIS</v>
      </c>
      <c r="K20" s="98" t="str">
        <f t="shared" si="6"/>
        <v>obj_0010b#0000</v>
      </c>
      <c r="L20" s="148" t="str">
        <f>IFERROR(_xll.qlRateHelperQuoteName(K20,Trigger),"--")</f>
        <v>SEKOIS1Y_Quote</v>
      </c>
      <c r="M20" s="102">
        <f>IFERROR(_xll.qlRateHelperQuoteValue($K20,Trigger),"--")</f>
        <v>-4.5499999999999994E-3</v>
      </c>
      <c r="N20" s="101" t="b">
        <v>1</v>
      </c>
      <c r="O20" s="98">
        <v>50</v>
      </c>
      <c r="P20" s="98">
        <v>1</v>
      </c>
      <c r="Q20" s="103">
        <f>IFERROR(_xll.qlRateHelperEarliestDate(K20,Trigger),"--")</f>
        <v>42356</v>
      </c>
      <c r="R20" s="103">
        <f>IFERROR(_xll.qlRateHelperPillarDate(K20,Trigger),"--")</f>
        <v>42723</v>
      </c>
      <c r="T20" s="4" t="str">
        <f t="shared" si="1"/>
        <v>OIS</v>
      </c>
      <c r="U20" s="4" t="str">
        <v>obj_00130</v>
      </c>
      <c r="V20" s="4" t="str">
        <f>IFERROR(_xll.qlRateHelperQuoteName(U20,Trigger),"")</f>
        <v>SEKOIS20Y_Quote</v>
      </c>
      <c r="W20" s="73">
        <f>IFERROR(_xll.qlRateHelperRate(U20,Trigger),"")</f>
        <v>1.9574999999999999E-2</v>
      </c>
      <c r="X20" s="108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42356</v>
      </c>
      <c r="Z20" s="5">
        <f>IFERROR(_xll.qlRateHelperPillarDate(U20,Trigger),"")</f>
        <v>49661</v>
      </c>
      <c r="AA20" s="81">
        <v>0.65779675284850925</v>
      </c>
      <c r="AB20" s="190"/>
      <c r="AC20" s="164">
        <v>10</v>
      </c>
      <c r="AD20" s="165">
        <f>_xll.qlCalendarEndOfMonth(Calendar,_xll.qlCalendarAdvance(Calendar,AD19,"1m","mf",TRUE),Trigger)</f>
        <v>42643</v>
      </c>
      <c r="AE20" s="164" t="str">
        <f t="shared" si="7"/>
        <v>SEKJump10_SYNTHON_Quote</v>
      </c>
      <c r="AF20" s="195">
        <f>_xll.qlDayCounterYearFraction("actual/360",AD20,_xll.qlCalendarAdvance(Calendar,AD20,"1D",,,Trigger))</f>
        <v>8.3333333333333332E-3</v>
      </c>
      <c r="AG20" s="166" t="e">
        <f>IF(_xll.qlQuoteIsValid(AE20,Trigger),_xll.qlQuoteValue(AE20,Trigger),1)</f>
        <v>#NUM!</v>
      </c>
      <c r="AH20" s="198" t="e">
        <f t="shared" si="8"/>
        <v>#NUM!</v>
      </c>
      <c r="AI20" s="203">
        <v>0</v>
      </c>
      <c r="AJ20" s="166">
        <f t="shared" si="9"/>
        <v>1</v>
      </c>
    </row>
    <row r="21" spans="1:36" ht="11.25" customHeight="1" x14ac:dyDescent="0.2">
      <c r="A21" s="1" t="s">
        <v>148</v>
      </c>
      <c r="B21" s="8" t="s">
        <v>102</v>
      </c>
      <c r="C21" s="7">
        <f t="shared" si="3"/>
        <v>2</v>
      </c>
      <c r="D21" s="130"/>
      <c r="E21" s="9" t="str">
        <f t="shared" si="4"/>
        <v>SekiborON</v>
      </c>
      <c r="F21" s="2" t="str">
        <f t="shared" si="2"/>
        <v>SEKOIS12M_Quote</v>
      </c>
      <c r="G21" s="130"/>
      <c r="H21" s="3"/>
      <c r="I21" s="51"/>
      <c r="J21" s="10" t="str">
        <f t="shared" si="5"/>
        <v>OIS</v>
      </c>
      <c r="K21" s="98" t="str">
        <f t="shared" si="6"/>
        <v>--</v>
      </c>
      <c r="L21" s="148" t="str">
        <f>IFERROR(_xll.qlRateHelperQuoteName(K21,Trigger),"--")</f>
        <v>--</v>
      </c>
      <c r="M21" s="102" t="str">
        <f>IFERROR(_xll.qlRateHelperQuoteValue($K21,Trigger),"--")</f>
        <v>--</v>
      </c>
      <c r="N21" s="101" t="b">
        <v>0</v>
      </c>
      <c r="O21" s="98">
        <v>50</v>
      </c>
      <c r="P21" s="98">
        <v>1</v>
      </c>
      <c r="Q21" s="103" t="str">
        <f>IFERROR(_xll.qlRateHelperEarliestDate(K21,Trigger),"--")</f>
        <v>--</v>
      </c>
      <c r="R21" s="103" t="str">
        <f>IFERROR(_xll.qlRateHelperPillarDate(K21,Trigger),"--")</f>
        <v>--</v>
      </c>
      <c r="T21" s="4" t="str">
        <f t="shared" si="1"/>
        <v>OIS</v>
      </c>
      <c r="U21" s="4" t="str">
        <v>obj_00131</v>
      </c>
      <c r="V21" s="4" t="str">
        <f>IFERROR(_xll.qlRateHelperQuoteName(U21,Trigger),"")</f>
        <v>SEKOIS25Y_Quote</v>
      </c>
      <c r="W21" s="73">
        <f>IFERROR(_xll.qlRateHelperRate(U21,Trigger),"")</f>
        <v>2.0899999999999998E-2</v>
      </c>
      <c r="X21" s="108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42356</v>
      </c>
      <c r="Z21" s="5">
        <f>IFERROR(_xll.qlRateHelperPillarDate(U21,Trigger),"")</f>
        <v>51488</v>
      </c>
      <c r="AA21" s="81">
        <v>0.57062616898135388</v>
      </c>
      <c r="AB21" s="190"/>
      <c r="AC21" s="164">
        <v>11</v>
      </c>
      <c r="AD21" s="165">
        <f>_xll.qlCalendarEndOfMonth(Calendar,_xll.qlCalendarAdvance(Calendar,AD20,"1m","mf",TRUE),Trigger)</f>
        <v>42674</v>
      </c>
      <c r="AE21" s="164" t="str">
        <f t="shared" si="7"/>
        <v>SEKJump11_SYNTHON_Quote</v>
      </c>
      <c r="AF21" s="195">
        <f>_xll.qlDayCounterYearFraction("actual/360",AD21,_xll.qlCalendarAdvance(Calendar,AD21,"1D",,,Trigger))</f>
        <v>2.7777777777777779E-3</v>
      </c>
      <c r="AG21" s="166" t="e">
        <f>IF(_xll.qlQuoteIsValid(AE21,Trigger),_xll.qlQuoteValue(AE21,Trigger),1)</f>
        <v>#NUM!</v>
      </c>
      <c r="AH21" s="198" t="e">
        <f t="shared" si="8"/>
        <v>#NUM!</v>
      </c>
      <c r="AI21" s="203">
        <v>0</v>
      </c>
      <c r="AJ21" s="166">
        <f t="shared" si="9"/>
        <v>1</v>
      </c>
    </row>
    <row r="22" spans="1:36" ht="11.25" customHeight="1" x14ac:dyDescent="0.2">
      <c r="A22" s="62" t="s">
        <v>71</v>
      </c>
      <c r="B22" s="63" t="s">
        <v>29</v>
      </c>
      <c r="C22" s="64">
        <f t="shared" ref="C22:C42" si="10">IF(B22="O/N",0,IF(B22="T/N",1,2))</f>
        <v>2</v>
      </c>
      <c r="D22" s="129"/>
      <c r="E22" s="65" t="str">
        <f t="shared" si="4"/>
        <v>SekiborON</v>
      </c>
      <c r="F22" s="66" t="str">
        <f t="shared" si="2"/>
        <v>SEKOIS1Y_Quote</v>
      </c>
      <c r="G22" s="129"/>
      <c r="H22" s="67" t="str">
        <f>_xll.qlOISRateHelper(,C22,B22,F22,$E22,,Permanent,Trigger,ObjectOverwrite)</f>
        <v>obj_0010b#0000</v>
      </c>
      <c r="J22" s="10" t="str">
        <f t="shared" si="5"/>
        <v>OIS</v>
      </c>
      <c r="K22" s="98" t="str">
        <f t="shared" si="6"/>
        <v>--</v>
      </c>
      <c r="L22" s="148" t="str">
        <f>IFERROR(_xll.qlRateHelperQuoteName(K22,Trigger),"--")</f>
        <v>--</v>
      </c>
      <c r="M22" s="102" t="str">
        <f>IFERROR(_xll.qlRateHelperQuoteValue($K22,Trigger),"--")</f>
        <v>--</v>
      </c>
      <c r="N22" s="101" t="b">
        <v>0</v>
      </c>
      <c r="O22" s="98">
        <v>50</v>
      </c>
      <c r="P22" s="98">
        <v>1</v>
      </c>
      <c r="Q22" s="103" t="str">
        <f>IFERROR(_xll.qlRateHelperEarliestDate(K22,Trigger),"--")</f>
        <v>--</v>
      </c>
      <c r="R22" s="103" t="str">
        <f>IFERROR(_xll.qlRateHelperPillarDate(K22,Trigger),"--")</f>
        <v>--</v>
      </c>
      <c r="T22" s="4" t="str">
        <f t="shared" si="1"/>
        <v>OIS</v>
      </c>
      <c r="U22" s="4" t="str">
        <v>obj_00137</v>
      </c>
      <c r="V22" s="4" t="str">
        <f>IFERROR(_xll.qlRateHelperQuoteName(U22,Trigger),"")</f>
        <v>SEKOIS30Y_Quote</v>
      </c>
      <c r="W22" s="73">
        <f>IFERROR(_xll.qlRateHelperRate(U22,Trigger),"")</f>
        <v>2.1299999999999999E-2</v>
      </c>
      <c r="X22" s="108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42356</v>
      </c>
      <c r="Z22" s="5">
        <f>IFERROR(_xll.qlRateHelperPillarDate(U22,Trigger),"")</f>
        <v>53314</v>
      </c>
      <c r="AA22" s="81">
        <v>0.50513418590257497</v>
      </c>
      <c r="AB22" s="190"/>
      <c r="AC22" s="164">
        <v>12</v>
      </c>
      <c r="AD22" s="165">
        <f>_xll.qlCalendarEndOfMonth(Calendar,_xll.qlCalendarAdvance(Calendar,AD21,"1m","mf",TRUE),Trigger)</f>
        <v>42704</v>
      </c>
      <c r="AE22" s="164" t="str">
        <f t="shared" si="7"/>
        <v>SEKJump12_SYNTHON_Quote</v>
      </c>
      <c r="AF22" s="195">
        <f>_xll.qlDayCounterYearFraction("actual/360",AD22,_xll.qlCalendarAdvance(Calendar,AD22,"1D",,,Trigger))</f>
        <v>2.7777777777777779E-3</v>
      </c>
      <c r="AG22" s="166" t="e">
        <f>IF(_xll.qlQuoteIsValid(AE22,Trigger),_xll.qlQuoteValue(AE22,Trigger),1)</f>
        <v>#NUM!</v>
      </c>
      <c r="AH22" s="198" t="e">
        <f t="shared" si="8"/>
        <v>#NUM!</v>
      </c>
      <c r="AI22" s="203">
        <v>0</v>
      </c>
      <c r="AJ22" s="166">
        <f t="shared" si="9"/>
        <v>1</v>
      </c>
    </row>
    <row r="23" spans="1:36" ht="11.25" customHeight="1" x14ac:dyDescent="0.2">
      <c r="A23" s="62" t="s">
        <v>71</v>
      </c>
      <c r="B23" s="63" t="s">
        <v>122</v>
      </c>
      <c r="C23" s="64">
        <f t="shared" si="10"/>
        <v>2</v>
      </c>
      <c r="D23" s="129"/>
      <c r="E23" s="65" t="str">
        <f t="shared" si="4"/>
        <v>SekiborON</v>
      </c>
      <c r="F23" s="66" t="str">
        <f t="shared" si="2"/>
        <v>SEKOIS13M_Quote</v>
      </c>
      <c r="G23" s="129"/>
      <c r="H23" s="67"/>
      <c r="J23" s="10" t="str">
        <f t="shared" si="5"/>
        <v>OIS</v>
      </c>
      <c r="K23" s="98" t="str">
        <f t="shared" si="6"/>
        <v>--</v>
      </c>
      <c r="L23" s="148" t="str">
        <f>IFERROR(_xll.qlRateHelperQuoteName(K23,Trigger),"--")</f>
        <v>--</v>
      </c>
      <c r="M23" s="102" t="str">
        <f>IFERROR(_xll.qlRateHelperQuoteValue($K23,Trigger),"--")</f>
        <v>--</v>
      </c>
      <c r="N23" s="101" t="b">
        <v>0</v>
      </c>
      <c r="O23" s="98">
        <v>50</v>
      </c>
      <c r="P23" s="98">
        <v>1</v>
      </c>
      <c r="Q23" s="103" t="str">
        <f>IFERROR(_xll.qlRateHelperEarliestDate(K23,Trigger),"--")</f>
        <v>--</v>
      </c>
      <c r="R23" s="103" t="str">
        <f>IFERROR(_xll.qlRateHelperPillarDate(K23,Trigger),"--")</f>
        <v>--</v>
      </c>
      <c r="T23" s="4" t="str">
        <f t="shared" si="1"/>
        <v/>
      </c>
      <c r="U23" s="4" t="e">
        <v>#N/A</v>
      </c>
      <c r="V23" s="4" t="str">
        <f>IFERROR(_xll.qlRateHelperQuoteName(U23,Trigger),"")</f>
        <v/>
      </c>
      <c r="W23" s="73" t="str">
        <f>IFERROR(_xll.qlRateHelperRate(U23,Trigger),"")</f>
        <v/>
      </c>
      <c r="X23" s="108" t="str">
        <f>IF(ISERROR(_xll.qlSwapRateHelperSpread($U23)),IF(ISERROR(_xll.qlFuturesRateHelperConvexityAdjustment($U23)),"",_xll.qlFuturesRateHelperConvexityAdjustment($U23)),_xll.qlSwapRateHelperSpread($U23))</f>
        <v/>
      </c>
      <c r="Y23" s="5" t="str">
        <f>IFERROR(_xll.qlRateHelperEarliestDate(U23,Trigger),"")</f>
        <v/>
      </c>
      <c r="Z23" s="5" t="str">
        <f>IFERROR(_xll.qlRateHelperPillarDate(U23,Trigger),"")</f>
        <v/>
      </c>
      <c r="AA23" s="81" t="e">
        <v>#N/A</v>
      </c>
      <c r="AB23" s="190"/>
      <c r="AC23" s="167">
        <v>13</v>
      </c>
      <c r="AD23" s="168">
        <f>_xll.qlCalendarAdjust(Calendar,DATE(YEAR(AD11)+1,12,31),"preceding",Trigger)</f>
        <v>42734</v>
      </c>
      <c r="AE23" s="167" t="str">
        <f t="shared" si="7"/>
        <v>SEKJump13_SYNTHON_Quote</v>
      </c>
      <c r="AF23" s="196">
        <f>_xll.qlDayCounterYearFraction("actual/360",AD23,_xll.qlCalendarAdvance(Calendar,AD23,"1D",,,Trigger))</f>
        <v>8.3333333333333332E-3</v>
      </c>
      <c r="AG23" s="169" t="e">
        <f>IF(_xll.qlQuoteIsValid(AE23,Trigger),_xll.qlQuoteValue(AE23,Trigger),1)</f>
        <v>#NUM!</v>
      </c>
      <c r="AH23" s="199" t="e">
        <f t="shared" si="8"/>
        <v>#NUM!</v>
      </c>
      <c r="AI23" s="204">
        <v>0</v>
      </c>
      <c r="AJ23" s="169">
        <f t="shared" si="9"/>
        <v>1</v>
      </c>
    </row>
    <row r="24" spans="1:36" ht="11.25" customHeight="1" x14ac:dyDescent="0.2">
      <c r="A24" s="62" t="s">
        <v>71</v>
      </c>
      <c r="B24" s="63" t="s">
        <v>123</v>
      </c>
      <c r="C24" s="64">
        <f t="shared" si="10"/>
        <v>2</v>
      </c>
      <c r="D24" s="129"/>
      <c r="E24" s="65" t="str">
        <f t="shared" si="4"/>
        <v>SekiborON</v>
      </c>
      <c r="F24" s="66" t="str">
        <f t="shared" si="2"/>
        <v>SEKOIS14M_Quote</v>
      </c>
      <c r="G24" s="129"/>
      <c r="H24" s="67"/>
      <c r="J24" s="10" t="str">
        <f t="shared" si="5"/>
        <v>OIS</v>
      </c>
      <c r="K24" s="98" t="str">
        <f t="shared" si="6"/>
        <v>--</v>
      </c>
      <c r="L24" s="148" t="str">
        <f>IFERROR(_xll.qlRateHelperQuoteName(K24,Trigger),"--")</f>
        <v>--</v>
      </c>
      <c r="M24" s="102" t="str">
        <f>IFERROR(_xll.qlRateHelperQuoteValue($K24,Trigger),"--")</f>
        <v>--</v>
      </c>
      <c r="N24" s="101" t="b">
        <v>0</v>
      </c>
      <c r="O24" s="98">
        <v>50</v>
      </c>
      <c r="P24" s="98">
        <v>1</v>
      </c>
      <c r="Q24" s="103" t="str">
        <f>IFERROR(_xll.qlRateHelperEarliestDate(K24,Trigger),"--")</f>
        <v>--</v>
      </c>
      <c r="R24" s="103" t="str">
        <f>IFERROR(_xll.qlRateHelperPillarDate(K24,Trigger),"--")</f>
        <v>--</v>
      </c>
      <c r="T24" s="4" t="str">
        <f t="shared" si="1"/>
        <v/>
      </c>
      <c r="U24" s="4" t="e">
        <v>#N/A</v>
      </c>
      <c r="V24" s="4" t="str">
        <f>IFERROR(_xll.qlRateHelperQuoteName(U24,Trigger),"")</f>
        <v/>
      </c>
      <c r="W24" s="73" t="str">
        <f>IFERROR(_xll.qlRateHelperRate(U24,Trigger),"")</f>
        <v/>
      </c>
      <c r="X24" s="108" t="str">
        <f>IF(ISERROR(_xll.qlSwapRateHelperSpread($U24)),IF(ISERROR(_xll.qlFuturesRateHelperConvexityAdjustment($U24)),"",_xll.qlFuturesRateHelperConvexityAdjustment($U24)),_xll.qlSwapRateHelperSpread($U24))</f>
        <v/>
      </c>
      <c r="Y24" s="5" t="str">
        <f>IFERROR(_xll.qlRateHelperEarliestDate(U24,Trigger),"")</f>
        <v/>
      </c>
      <c r="Z24" s="5" t="str">
        <f>IFERROR(_xll.qlRateHelperPillarDate(U24,Trigger),"")</f>
        <v/>
      </c>
      <c r="AA24" s="81" t="e">
        <v>#N/A</v>
      </c>
      <c r="AB24" s="190"/>
    </row>
    <row r="25" spans="1:36" ht="11.25" customHeight="1" x14ac:dyDescent="0.2">
      <c r="A25" s="62" t="s">
        <v>71</v>
      </c>
      <c r="B25" s="63" t="s">
        <v>50</v>
      </c>
      <c r="C25" s="64">
        <f t="shared" si="10"/>
        <v>2</v>
      </c>
      <c r="D25" s="129"/>
      <c r="E25" s="65" t="str">
        <f t="shared" si="4"/>
        <v>SekiborON</v>
      </c>
      <c r="F25" s="66" t="str">
        <f t="shared" si="2"/>
        <v>SEKOIS15M_Quote</v>
      </c>
      <c r="G25" s="129"/>
      <c r="H25" s="67"/>
      <c r="J25" s="10" t="str">
        <f t="shared" si="5"/>
        <v>OIS</v>
      </c>
      <c r="K25" s="98" t="str">
        <f t="shared" si="6"/>
        <v>--</v>
      </c>
      <c r="L25" s="148" t="str">
        <f>IFERROR(_xll.qlRateHelperQuoteName(K25,Trigger),"--")</f>
        <v>--</v>
      </c>
      <c r="M25" s="102" t="str">
        <f>IFERROR(_xll.qlRateHelperQuoteValue($K25,Trigger),"--")</f>
        <v>--</v>
      </c>
      <c r="N25" s="101" t="b">
        <v>0</v>
      </c>
      <c r="O25" s="98">
        <v>50</v>
      </c>
      <c r="P25" s="98">
        <v>1</v>
      </c>
      <c r="Q25" s="103" t="str">
        <f>IFERROR(_xll.qlRateHelperEarliestDate(K25,Trigger),"--")</f>
        <v>--</v>
      </c>
      <c r="R25" s="103" t="str">
        <f>IFERROR(_xll.qlRateHelperPillarDate(K25,Trigger),"--")</f>
        <v>--</v>
      </c>
      <c r="T25" s="4" t="str">
        <f t="shared" si="1"/>
        <v/>
      </c>
      <c r="U25" s="4" t="e">
        <v>#N/A</v>
      </c>
      <c r="V25" s="4" t="str">
        <f>IFERROR(_xll.qlRateHelperQuoteName(U25,Trigger),"")</f>
        <v/>
      </c>
      <c r="W25" s="73" t="str">
        <f>IFERROR(_xll.qlRateHelperRate(U25,Trigger),"")</f>
        <v/>
      </c>
      <c r="X25" s="108" t="str">
        <f>IF(ISERROR(_xll.qlSwapRateHelperSpread($U25)),IF(ISERROR(_xll.qlFuturesRateHelperConvexityAdjustment($U25)),"",_xll.qlFuturesRateHelperConvexityAdjustment($U25)),_xll.qlSwapRateHelperSpread($U25))</f>
        <v/>
      </c>
      <c r="Y25" s="5" t="str">
        <f>IFERROR(_xll.qlRateHelperEarliestDate(U25,Trigger),"")</f>
        <v/>
      </c>
      <c r="Z25" s="5" t="str">
        <f>IFERROR(_xll.qlRateHelperPillarDate(U25,Trigger),"")</f>
        <v/>
      </c>
      <c r="AA25" s="81" t="e">
        <v>#N/A</v>
      </c>
      <c r="AB25" s="190"/>
    </row>
    <row r="26" spans="1:36" ht="11.25" customHeight="1" x14ac:dyDescent="0.2">
      <c r="A26" s="62" t="s">
        <v>71</v>
      </c>
      <c r="B26" s="63" t="s">
        <v>124</v>
      </c>
      <c r="C26" s="64">
        <f t="shared" si="10"/>
        <v>2</v>
      </c>
      <c r="D26" s="129"/>
      <c r="E26" s="65" t="str">
        <f t="shared" si="4"/>
        <v>SekiborON</v>
      </c>
      <c r="F26" s="66" t="str">
        <f t="shared" si="2"/>
        <v>SEKOIS16M_Quote</v>
      </c>
      <c r="G26" s="129"/>
      <c r="H26" s="67"/>
      <c r="J26" s="10" t="str">
        <f t="shared" si="5"/>
        <v>OIS</v>
      </c>
      <c r="K26" s="98" t="str">
        <f t="shared" si="6"/>
        <v>--</v>
      </c>
      <c r="L26" s="148" t="str">
        <f>IFERROR(_xll.qlRateHelperQuoteName(K26,Trigger),"--")</f>
        <v>--</v>
      </c>
      <c r="M26" s="102" t="str">
        <f>IFERROR(_xll.qlRateHelperQuoteValue($K26,Trigger),"--")</f>
        <v>--</v>
      </c>
      <c r="N26" s="101" t="b">
        <v>0</v>
      </c>
      <c r="O26" s="98">
        <v>50</v>
      </c>
      <c r="P26" s="98">
        <v>1</v>
      </c>
      <c r="Q26" s="103" t="str">
        <f>IFERROR(_xll.qlRateHelperEarliestDate(K26,Trigger),"--")</f>
        <v>--</v>
      </c>
      <c r="R26" s="103" t="str">
        <f>IFERROR(_xll.qlRateHelperPillarDate(K26,Trigger),"--")</f>
        <v>--</v>
      </c>
      <c r="T26" s="4" t="str">
        <f t="shared" si="1"/>
        <v/>
      </c>
      <c r="U26" s="4" t="e">
        <v>#N/A</v>
      </c>
      <c r="V26" s="4" t="str">
        <f>IFERROR(_xll.qlRateHelperQuoteName(U26,Trigger),"")</f>
        <v/>
      </c>
      <c r="W26" s="73" t="str">
        <f>IFERROR(_xll.qlRateHelperRate(U26,Trigger),"")</f>
        <v/>
      </c>
      <c r="X26" s="108" t="str">
        <f>IF(ISERROR(_xll.qlSwapRateHelperSpread($U26)),IF(ISERROR(_xll.qlFuturesRateHelperConvexityAdjustment($U26)),"",_xll.qlFuturesRateHelperConvexityAdjustment($U26)),_xll.qlSwapRateHelperSpread($U26))</f>
        <v/>
      </c>
      <c r="Y26" s="5" t="str">
        <f>IFERROR(_xll.qlRateHelperEarliestDate(U26,Trigger),"")</f>
        <v/>
      </c>
      <c r="Z26" s="5" t="str">
        <f>IFERROR(_xll.qlRateHelperPillarDate(U26,Trigger),"")</f>
        <v/>
      </c>
      <c r="AA26" s="81" t="e">
        <v>#N/A</v>
      </c>
      <c r="AB26" s="190"/>
    </row>
    <row r="27" spans="1:36" ht="11.25" customHeight="1" x14ac:dyDescent="0.2">
      <c r="A27" s="62" t="s">
        <v>71</v>
      </c>
      <c r="B27" s="63" t="s">
        <v>125</v>
      </c>
      <c r="C27" s="64">
        <f t="shared" si="10"/>
        <v>2</v>
      </c>
      <c r="D27" s="129"/>
      <c r="E27" s="65" t="str">
        <f t="shared" si="4"/>
        <v>SekiborON</v>
      </c>
      <c r="F27" s="66" t="str">
        <f t="shared" si="2"/>
        <v>SEKOIS17M_Quote</v>
      </c>
      <c r="G27" s="129"/>
      <c r="H27" s="67"/>
      <c r="J27" s="10" t="str">
        <f t="shared" si="5"/>
        <v>OIS</v>
      </c>
      <c r="K27" s="98" t="str">
        <f t="shared" si="6"/>
        <v>--</v>
      </c>
      <c r="L27" s="148" t="str">
        <f>IFERROR(_xll.qlRateHelperQuoteName(K27,Trigger),"--")</f>
        <v>--</v>
      </c>
      <c r="M27" s="102" t="str">
        <f>IFERROR(_xll.qlRateHelperQuoteValue($K27,Trigger),"--")</f>
        <v>--</v>
      </c>
      <c r="N27" s="101" t="b">
        <v>0</v>
      </c>
      <c r="O27" s="98">
        <v>50</v>
      </c>
      <c r="P27" s="98">
        <v>1</v>
      </c>
      <c r="Q27" s="103" t="str">
        <f>IFERROR(_xll.qlRateHelperEarliestDate(K27,Trigger),"--")</f>
        <v>--</v>
      </c>
      <c r="R27" s="103" t="str">
        <f>IFERROR(_xll.qlRateHelperPillarDate(K27,Trigger),"--")</f>
        <v>--</v>
      </c>
      <c r="T27" s="4" t="str">
        <f t="shared" si="1"/>
        <v/>
      </c>
      <c r="U27" s="4" t="e">
        <v>#N/A</v>
      </c>
      <c r="V27" s="4" t="str">
        <f>IFERROR(_xll.qlRateHelperQuoteName(U27,Trigger),"")</f>
        <v/>
      </c>
      <c r="W27" s="73" t="str">
        <f>IFERROR(_xll.qlRateHelperRate(U27,Trigger),"")</f>
        <v/>
      </c>
      <c r="X27" s="108" t="str">
        <f>IF(ISERROR(_xll.qlSwapRateHelperSpread($U27)),IF(ISERROR(_xll.qlFuturesRateHelperConvexityAdjustment($U27)),"",_xll.qlFuturesRateHelperConvexityAdjustment($U27)),_xll.qlSwapRateHelperSpread($U27))</f>
        <v/>
      </c>
      <c r="Y27" s="5" t="str">
        <f>IFERROR(_xll.qlRateHelperEarliestDate(U27,Trigger),"")</f>
        <v/>
      </c>
      <c r="Z27" s="5" t="str">
        <f>IFERROR(_xll.qlRateHelperPillarDate(U27,Trigger),"")</f>
        <v/>
      </c>
      <c r="AA27" s="81" t="e">
        <v>#N/A</v>
      </c>
      <c r="AB27" s="190"/>
    </row>
    <row r="28" spans="1:36" ht="11.25" customHeight="1" x14ac:dyDescent="0.2">
      <c r="A28" s="62" t="s">
        <v>71</v>
      </c>
      <c r="B28" s="63" t="s">
        <v>51</v>
      </c>
      <c r="C28" s="64">
        <f t="shared" si="10"/>
        <v>2</v>
      </c>
      <c r="D28" s="129"/>
      <c r="E28" s="65" t="str">
        <f t="shared" si="4"/>
        <v>SekiborON</v>
      </c>
      <c r="F28" s="66" t="str">
        <f t="shared" si="2"/>
        <v>SEKOIS18M_Quote</v>
      </c>
      <c r="G28" s="129"/>
      <c r="H28" s="67"/>
      <c r="J28" s="10" t="str">
        <f t="shared" si="5"/>
        <v>OIS</v>
      </c>
      <c r="K28" s="98" t="str">
        <f t="shared" si="6"/>
        <v>--</v>
      </c>
      <c r="L28" s="148" t="str">
        <f>IFERROR(_xll.qlRateHelperQuoteName(K28,Trigger),"--")</f>
        <v>--</v>
      </c>
      <c r="M28" s="102" t="str">
        <f>IFERROR(_xll.qlRateHelperQuoteValue($K28,Trigger),"--")</f>
        <v>--</v>
      </c>
      <c r="N28" s="101" t="b">
        <v>0</v>
      </c>
      <c r="O28" s="98">
        <v>50</v>
      </c>
      <c r="P28" s="98">
        <v>1</v>
      </c>
      <c r="Q28" s="103" t="str">
        <f>IFERROR(_xll.qlRateHelperEarliestDate(K28,Trigger),"--")</f>
        <v>--</v>
      </c>
      <c r="R28" s="103" t="str">
        <f>IFERROR(_xll.qlRateHelperPillarDate(K28,Trigger),"--")</f>
        <v>--</v>
      </c>
      <c r="T28" s="4" t="str">
        <f t="shared" si="1"/>
        <v/>
      </c>
      <c r="U28" s="4" t="e">
        <v>#N/A</v>
      </c>
      <c r="V28" s="4" t="str">
        <f>IFERROR(_xll.qlRateHelperQuoteName(U28,Trigger),"")</f>
        <v/>
      </c>
      <c r="W28" s="73" t="str">
        <f>IFERROR(_xll.qlRateHelperRate(U28,Trigger),"")</f>
        <v/>
      </c>
      <c r="X28" s="108" t="str">
        <f>IF(ISERROR(_xll.qlSwapRateHelperSpread($U28)),IF(ISERROR(_xll.qlFuturesRateHelperConvexityAdjustment($U28)),"",_xll.qlFuturesRateHelperConvexityAdjustment($U28)),_xll.qlSwapRateHelperSpread($U28))</f>
        <v/>
      </c>
      <c r="Y28" s="5" t="str">
        <f>IFERROR(_xll.qlRateHelperEarliestDate(U28,Trigger),"")</f>
        <v/>
      </c>
      <c r="Z28" s="5" t="str">
        <f>IFERROR(_xll.qlRateHelperPillarDate(U28,Trigger),"")</f>
        <v/>
      </c>
      <c r="AA28" s="81" t="e">
        <v>#N/A</v>
      </c>
      <c r="AB28" s="190"/>
    </row>
    <row r="29" spans="1:36" ht="11.25" customHeight="1" x14ac:dyDescent="0.2">
      <c r="A29" s="62" t="s">
        <v>71</v>
      </c>
      <c r="B29" s="63" t="s">
        <v>126</v>
      </c>
      <c r="C29" s="64">
        <f t="shared" si="10"/>
        <v>2</v>
      </c>
      <c r="D29" s="129"/>
      <c r="E29" s="65" t="str">
        <f t="shared" si="4"/>
        <v>SekiborON</v>
      </c>
      <c r="F29" s="66" t="str">
        <f t="shared" si="2"/>
        <v>SEKOIS19M_Quote</v>
      </c>
      <c r="G29" s="129"/>
      <c r="H29" s="67"/>
      <c r="J29" s="10" t="str">
        <f t="shared" si="5"/>
        <v>OIS</v>
      </c>
      <c r="K29" s="98" t="str">
        <f t="shared" si="6"/>
        <v>--</v>
      </c>
      <c r="L29" s="148" t="str">
        <f>IFERROR(_xll.qlRateHelperQuoteName(K29,Trigger),"--")</f>
        <v>--</v>
      </c>
      <c r="M29" s="102" t="str">
        <f>IFERROR(_xll.qlRateHelperQuoteValue($K29,Trigger),"--")</f>
        <v>--</v>
      </c>
      <c r="N29" s="101" t="b">
        <v>0</v>
      </c>
      <c r="O29" s="98">
        <v>50</v>
      </c>
      <c r="P29" s="98">
        <v>1</v>
      </c>
      <c r="Q29" s="103" t="str">
        <f>IFERROR(_xll.qlRateHelperEarliestDate(K29,Trigger),"--")</f>
        <v>--</v>
      </c>
      <c r="R29" s="103" t="str">
        <f>IFERROR(_xll.qlRateHelperPillarDate(K29,Trigger),"--")</f>
        <v>--</v>
      </c>
      <c r="T29" s="4" t="str">
        <f t="shared" si="1"/>
        <v/>
      </c>
      <c r="U29" s="4" t="e">
        <v>#N/A</v>
      </c>
      <c r="V29" s="4" t="str">
        <f>IFERROR(_xll.qlRateHelperQuoteName(U29,Trigger),"")</f>
        <v/>
      </c>
      <c r="W29" s="73" t="str">
        <f>IFERROR(_xll.qlRateHelperRate(U29,Trigger),"")</f>
        <v/>
      </c>
      <c r="X29" s="108" t="str">
        <f>IF(ISERROR(_xll.qlSwapRateHelperSpread($U29)),IF(ISERROR(_xll.qlFuturesRateHelperConvexityAdjustment($U29)),"",_xll.qlFuturesRateHelperConvexityAdjustment($U29)),_xll.qlSwapRateHelperSpread($U29))</f>
        <v/>
      </c>
      <c r="Y29" s="5" t="str">
        <f>IFERROR(_xll.qlRateHelperEarliestDate(U29,Trigger),"")</f>
        <v/>
      </c>
      <c r="Z29" s="5" t="str">
        <f>IFERROR(_xll.qlRateHelperPillarDate(U29,Trigger),"")</f>
        <v/>
      </c>
      <c r="AA29" s="81" t="e">
        <v>#N/A</v>
      </c>
      <c r="AB29" s="190"/>
    </row>
    <row r="30" spans="1:36" ht="11.25" customHeight="1" x14ac:dyDescent="0.2">
      <c r="A30" s="62" t="s">
        <v>71</v>
      </c>
      <c r="B30" s="63" t="s">
        <v>127</v>
      </c>
      <c r="C30" s="64">
        <f t="shared" si="10"/>
        <v>2</v>
      </c>
      <c r="D30" s="129"/>
      <c r="E30" s="65" t="str">
        <f t="shared" si="4"/>
        <v>SekiborON</v>
      </c>
      <c r="F30" s="66" t="str">
        <f t="shared" si="2"/>
        <v>SEKOIS20M_Quote</v>
      </c>
      <c r="G30" s="129"/>
      <c r="H30" s="67"/>
      <c r="J30" s="10" t="str">
        <f t="shared" si="5"/>
        <v>OIS</v>
      </c>
      <c r="K30" s="98" t="str">
        <f t="shared" si="6"/>
        <v>--</v>
      </c>
      <c r="L30" s="148" t="str">
        <f>IFERROR(_xll.qlRateHelperQuoteName(K30,Trigger),"--")</f>
        <v>--</v>
      </c>
      <c r="M30" s="102" t="str">
        <f>IFERROR(_xll.qlRateHelperQuoteValue($K30,Trigger),"--")</f>
        <v>--</v>
      </c>
      <c r="N30" s="101" t="b">
        <v>0</v>
      </c>
      <c r="O30" s="98">
        <v>50</v>
      </c>
      <c r="P30" s="98">
        <v>1</v>
      </c>
      <c r="Q30" s="103" t="str">
        <f>IFERROR(_xll.qlRateHelperEarliestDate(K30,Trigger),"--")</f>
        <v>--</v>
      </c>
      <c r="R30" s="103" t="str">
        <f>IFERROR(_xll.qlRateHelperPillarDate(K30,Trigger),"--")</f>
        <v>--</v>
      </c>
      <c r="T30" s="4" t="str">
        <f t="shared" si="1"/>
        <v/>
      </c>
      <c r="U30" s="4" t="e">
        <v>#N/A</v>
      </c>
      <c r="V30" s="4" t="str">
        <f>IFERROR(_xll.qlRateHelperQuoteName(U30,Trigger),"")</f>
        <v/>
      </c>
      <c r="W30" s="73" t="str">
        <f>IFERROR(_xll.qlRateHelperRate(U30,Trigger),"")</f>
        <v/>
      </c>
      <c r="X30" s="108" t="str">
        <f>IF(ISERROR(_xll.qlSwapRateHelperSpread($U30)),IF(ISERROR(_xll.qlFuturesRateHelperConvexityAdjustment($U30)),"",_xll.qlFuturesRateHelperConvexityAdjustment($U30)),_xll.qlSwapRateHelperSpread($U30))</f>
        <v/>
      </c>
      <c r="Y30" s="5" t="str">
        <f>IFERROR(_xll.qlRateHelperEarliestDate(U30,Trigger),"")</f>
        <v/>
      </c>
      <c r="Z30" s="5" t="str">
        <f>IFERROR(_xll.qlRateHelperPillarDate(U30,Trigger),"")</f>
        <v/>
      </c>
      <c r="AA30" s="81" t="e">
        <v>#N/A</v>
      </c>
      <c r="AB30" s="190"/>
    </row>
    <row r="31" spans="1:36" ht="11.25" customHeight="1" x14ac:dyDescent="0.2">
      <c r="A31" s="62" t="s">
        <v>71</v>
      </c>
      <c r="B31" s="63" t="s">
        <v>52</v>
      </c>
      <c r="C31" s="64">
        <f t="shared" si="10"/>
        <v>2</v>
      </c>
      <c r="D31" s="129"/>
      <c r="E31" s="65" t="str">
        <f t="shared" si="4"/>
        <v>SekiborON</v>
      </c>
      <c r="F31" s="66" t="str">
        <f t="shared" si="2"/>
        <v>SEKOIS21M_Quote</v>
      </c>
      <c r="G31" s="129"/>
      <c r="H31" s="67"/>
      <c r="J31" s="10" t="str">
        <f t="shared" si="5"/>
        <v>OIS</v>
      </c>
      <c r="K31" s="98" t="str">
        <f t="shared" si="6"/>
        <v>--</v>
      </c>
      <c r="L31" s="148" t="str">
        <f>IFERROR(_xll.qlRateHelperQuoteName(K31,Trigger),"--")</f>
        <v>--</v>
      </c>
      <c r="M31" s="102" t="str">
        <f>IFERROR(_xll.qlRateHelperQuoteValue($K31,Trigger),"--")</f>
        <v>--</v>
      </c>
      <c r="N31" s="101" t="b">
        <v>0</v>
      </c>
      <c r="O31" s="98">
        <v>50</v>
      </c>
      <c r="P31" s="98">
        <v>1</v>
      </c>
      <c r="Q31" s="103" t="str">
        <f>IFERROR(_xll.qlRateHelperEarliestDate(K31,Trigger),"--")</f>
        <v>--</v>
      </c>
      <c r="R31" s="103" t="str">
        <f>IFERROR(_xll.qlRateHelperPillarDate(K31,Trigger),"--")</f>
        <v>--</v>
      </c>
      <c r="T31" s="4" t="str">
        <f t="shared" si="1"/>
        <v/>
      </c>
      <c r="U31" s="4" t="e">
        <v>#N/A</v>
      </c>
      <c r="V31" s="4" t="str">
        <f>IFERROR(_xll.qlRateHelperQuoteName(U31,Trigger),"")</f>
        <v/>
      </c>
      <c r="W31" s="73" t="str">
        <f>IFERROR(_xll.qlRateHelperRate(U31,Trigger),"")</f>
        <v/>
      </c>
      <c r="X31" s="108" t="str">
        <f>IF(ISERROR(_xll.qlSwapRateHelperSpread($U31)),IF(ISERROR(_xll.qlFuturesRateHelperConvexityAdjustment($U31)),"",_xll.qlFuturesRateHelperConvexityAdjustment($U31)),_xll.qlSwapRateHelperSpread($U31))</f>
        <v/>
      </c>
      <c r="Y31" s="5" t="str">
        <f>IFERROR(_xll.qlRateHelperEarliestDate(U31,Trigger),"")</f>
        <v/>
      </c>
      <c r="Z31" s="5" t="str">
        <f>IFERROR(_xll.qlRateHelperPillarDate(U31,Trigger),"")</f>
        <v/>
      </c>
      <c r="AA31" s="81" t="e">
        <v>#N/A</v>
      </c>
      <c r="AB31" s="190"/>
    </row>
    <row r="32" spans="1:36" ht="11.25" customHeight="1" x14ac:dyDescent="0.2">
      <c r="A32" s="62" t="s">
        <v>71</v>
      </c>
      <c r="B32" s="63" t="s">
        <v>128</v>
      </c>
      <c r="C32" s="64">
        <f t="shared" si="10"/>
        <v>2</v>
      </c>
      <c r="D32" s="129"/>
      <c r="E32" s="65" t="str">
        <f t="shared" si="4"/>
        <v>SekiborON</v>
      </c>
      <c r="F32" s="66" t="str">
        <f t="shared" si="2"/>
        <v>SEKOIS22M_Quote</v>
      </c>
      <c r="G32" s="129"/>
      <c r="H32" s="67"/>
      <c r="J32" s="10" t="str">
        <f t="shared" si="5"/>
        <v>OIS</v>
      </c>
      <c r="K32" s="98" t="str">
        <f t="shared" si="6"/>
        <v>obj_0015f#0000</v>
      </c>
      <c r="L32" s="148" t="str">
        <f>IFERROR(_xll.qlRateHelperQuoteName(K32,Trigger),"--")</f>
        <v>SEKOIS2Y_Quote</v>
      </c>
      <c r="M32" s="102">
        <f>IFERROR(_xll.qlRateHelperQuoteValue($K32,Trigger),"--")</f>
        <v>-3.725E-3</v>
      </c>
      <c r="N32" s="101" t="b">
        <v>1</v>
      </c>
      <c r="O32" s="98">
        <v>50</v>
      </c>
      <c r="P32" s="98">
        <v>1</v>
      </c>
      <c r="Q32" s="103">
        <f>IFERROR(_xll.qlRateHelperEarliestDate(K32,Trigger),"--")</f>
        <v>42356</v>
      </c>
      <c r="R32" s="103">
        <f>IFERROR(_xll.qlRateHelperPillarDate(K32,Trigger),"--")</f>
        <v>43087</v>
      </c>
      <c r="T32" s="4" t="str">
        <f t="shared" si="1"/>
        <v/>
      </c>
      <c r="U32" s="4" t="e">
        <v>#N/A</v>
      </c>
      <c r="V32" s="4" t="str">
        <f>IFERROR(_xll.qlRateHelperQuoteName(U32,Trigger),"")</f>
        <v/>
      </c>
      <c r="W32" s="73" t="str">
        <f>IFERROR(_xll.qlRateHelperRate(U32,Trigger),"")</f>
        <v/>
      </c>
      <c r="X32" s="108" t="str">
        <f>IF(ISERROR(_xll.qlSwapRateHelperSpread($U32)),IF(ISERROR(_xll.qlFuturesRateHelperConvexityAdjustment($U32)),"",_xll.qlFuturesRateHelperConvexityAdjustment($U32)),_xll.qlSwapRateHelperSpread($U32))</f>
        <v/>
      </c>
      <c r="Y32" s="5" t="str">
        <f>IFERROR(_xll.qlRateHelperEarliestDate(U32,Trigger),"")</f>
        <v/>
      </c>
      <c r="Z32" s="5" t="str">
        <f>IFERROR(_xll.qlRateHelperPillarDate(U32,Trigger),"")</f>
        <v/>
      </c>
      <c r="AA32" s="81" t="e">
        <v>#N/A</v>
      </c>
      <c r="AB32" s="190"/>
    </row>
    <row r="33" spans="1:28" ht="11.25" customHeight="1" x14ac:dyDescent="0.2">
      <c r="A33" s="62" t="s">
        <v>71</v>
      </c>
      <c r="B33" s="63" t="s">
        <v>129</v>
      </c>
      <c r="C33" s="64">
        <f t="shared" si="10"/>
        <v>2</v>
      </c>
      <c r="D33" s="129"/>
      <c r="E33" s="65" t="str">
        <f t="shared" si="4"/>
        <v>SekiborON</v>
      </c>
      <c r="F33" s="66" t="str">
        <f t="shared" si="2"/>
        <v>SEKOIS23M_Quote</v>
      </c>
      <c r="G33" s="129"/>
      <c r="H33" s="67"/>
      <c r="J33" s="10" t="str">
        <f t="shared" si="5"/>
        <v>OIS</v>
      </c>
      <c r="K33" s="98" t="str">
        <f t="shared" si="6"/>
        <v>--</v>
      </c>
      <c r="L33" s="148" t="str">
        <f>IFERROR(_xll.qlRateHelperQuoteName(K33,Trigger),"--")</f>
        <v>--</v>
      </c>
      <c r="M33" s="102" t="str">
        <f>IFERROR(_xll.qlRateHelperQuoteValue($K33,Trigger),"--")</f>
        <v>--</v>
      </c>
      <c r="N33" s="101" t="b">
        <v>0</v>
      </c>
      <c r="O33" s="98">
        <v>50</v>
      </c>
      <c r="P33" s="98">
        <v>1</v>
      </c>
      <c r="Q33" s="103" t="str">
        <f>IFERROR(_xll.qlRateHelperEarliestDate(K33,Trigger),"--")</f>
        <v>--</v>
      </c>
      <c r="R33" s="103" t="str">
        <f>IFERROR(_xll.qlRateHelperPillarDate(K33,Trigger),"--")</f>
        <v>--</v>
      </c>
      <c r="T33" s="4" t="str">
        <f t="shared" si="1"/>
        <v/>
      </c>
      <c r="U33" s="4" t="e">
        <v>#N/A</v>
      </c>
      <c r="V33" s="4" t="str">
        <f>IFERROR(_xll.qlRateHelperQuoteName(U33,Trigger),"")</f>
        <v/>
      </c>
      <c r="W33" s="73" t="str">
        <f>IFERROR(_xll.qlRateHelperRate(U33,Trigger),"")</f>
        <v/>
      </c>
      <c r="X33" s="108" t="str">
        <f>IF(ISERROR(_xll.qlSwapRateHelperSpread($U33)),IF(ISERROR(_xll.qlFuturesRateHelperConvexityAdjustment($U33)),"",_xll.qlFuturesRateHelperConvexityAdjustment($U33)),_xll.qlSwapRateHelperSpread($U33))</f>
        <v/>
      </c>
      <c r="Y33" s="5" t="str">
        <f>IFERROR(_xll.qlRateHelperEarliestDate(U33,Trigger),"")</f>
        <v/>
      </c>
      <c r="Z33" s="5" t="str">
        <f>IFERROR(_xll.qlRateHelperPillarDate(U33,Trigger),"")</f>
        <v/>
      </c>
      <c r="AA33" s="81" t="e">
        <v>#N/A</v>
      </c>
      <c r="AB33" s="190"/>
    </row>
    <row r="34" spans="1:28" ht="11.25" customHeight="1" x14ac:dyDescent="0.2">
      <c r="A34" s="62" t="s">
        <v>71</v>
      </c>
      <c r="B34" s="63" t="s">
        <v>53</v>
      </c>
      <c r="C34" s="64">
        <f t="shared" si="10"/>
        <v>2</v>
      </c>
      <c r="D34" s="129"/>
      <c r="E34" s="65" t="str">
        <f t="shared" si="4"/>
        <v>SekiborON</v>
      </c>
      <c r="F34" s="66" t="str">
        <f t="shared" si="2"/>
        <v>SEKOIS2Y_Quote</v>
      </c>
      <c r="G34" s="129"/>
      <c r="H34" s="67" t="str">
        <f>_xll.qlOISRateHelper(,C34,B34,F34,$E34,,Permanent,Trigger,ObjectOverwrite)</f>
        <v>obj_0015f#0000</v>
      </c>
      <c r="J34" s="10" t="str">
        <f t="shared" si="5"/>
        <v>OIS</v>
      </c>
      <c r="K34" s="98" t="str">
        <f t="shared" si="6"/>
        <v>--</v>
      </c>
      <c r="L34" s="148" t="str">
        <f>IFERROR(_xll.qlRateHelperQuoteName(K34,Trigger),"--")</f>
        <v>--</v>
      </c>
      <c r="M34" s="102" t="str">
        <f>IFERROR(_xll.qlRateHelperQuoteValue($K34,Trigger),"--")</f>
        <v>--</v>
      </c>
      <c r="N34" s="101" t="b">
        <v>0</v>
      </c>
      <c r="O34" s="98">
        <v>50</v>
      </c>
      <c r="P34" s="98">
        <v>1</v>
      </c>
      <c r="Q34" s="103" t="str">
        <f>IFERROR(_xll.qlRateHelperEarliestDate(K34,Trigger),"--")</f>
        <v>--</v>
      </c>
      <c r="R34" s="103" t="str">
        <f>IFERROR(_xll.qlRateHelperPillarDate(K34,Trigger),"--")</f>
        <v>--</v>
      </c>
      <c r="T34" s="4" t="str">
        <f t="shared" si="1"/>
        <v/>
      </c>
      <c r="U34" s="4" t="e">
        <v>#N/A</v>
      </c>
      <c r="V34" s="4" t="str">
        <f>IFERROR(_xll.qlRateHelperQuoteName(U34,Trigger),"")</f>
        <v/>
      </c>
      <c r="W34" s="73" t="str">
        <f>IFERROR(_xll.qlRateHelperRate(U34,Trigger),"")</f>
        <v/>
      </c>
      <c r="X34" s="108" t="str">
        <f>IF(ISERROR(_xll.qlSwapRateHelperSpread($U34)),IF(ISERROR(_xll.qlFuturesRateHelperConvexityAdjustment($U34)),"",_xll.qlFuturesRateHelperConvexityAdjustment($U34)),_xll.qlSwapRateHelperSpread($U34))</f>
        <v/>
      </c>
      <c r="Y34" s="5" t="str">
        <f>IFERROR(_xll.qlRateHelperEarliestDate(U34,Trigger),"")</f>
        <v/>
      </c>
      <c r="Z34" s="5" t="str">
        <f>IFERROR(_xll.qlRateHelperPillarDate(U34,Trigger),"")</f>
        <v/>
      </c>
      <c r="AA34" s="81" t="e">
        <v>#N/A</v>
      </c>
      <c r="AB34" s="190"/>
    </row>
    <row r="35" spans="1:28" ht="11.25" customHeight="1" x14ac:dyDescent="0.2">
      <c r="A35" s="62" t="s">
        <v>71</v>
      </c>
      <c r="B35" s="63" t="s">
        <v>130</v>
      </c>
      <c r="C35" s="64">
        <f t="shared" si="10"/>
        <v>2</v>
      </c>
      <c r="D35" s="129"/>
      <c r="E35" s="65" t="str">
        <f t="shared" si="4"/>
        <v>SekiborON</v>
      </c>
      <c r="F35" s="66" t="str">
        <f t="shared" si="2"/>
        <v>SEKOIS27M_Quote</v>
      </c>
      <c r="G35" s="129"/>
      <c r="H35" s="67"/>
      <c r="J35" s="10" t="str">
        <f t="shared" si="5"/>
        <v>OIS</v>
      </c>
      <c r="K35" s="98" t="str">
        <f t="shared" si="6"/>
        <v>--</v>
      </c>
      <c r="L35" s="148" t="str">
        <f>IFERROR(_xll.qlRateHelperQuoteName(K35,Trigger),"--")</f>
        <v>--</v>
      </c>
      <c r="M35" s="102" t="str">
        <f>IFERROR(_xll.qlRateHelperQuoteValue($K35,Trigger),"--")</f>
        <v>--</v>
      </c>
      <c r="N35" s="101" t="b">
        <v>0</v>
      </c>
      <c r="O35" s="98">
        <v>50</v>
      </c>
      <c r="P35" s="98">
        <v>1</v>
      </c>
      <c r="Q35" s="103" t="str">
        <f>IFERROR(_xll.qlRateHelperEarliestDate(K35,Trigger),"--")</f>
        <v>--</v>
      </c>
      <c r="R35" s="103" t="str">
        <f>IFERROR(_xll.qlRateHelperPillarDate(K35,Trigger),"--")</f>
        <v>--</v>
      </c>
      <c r="T35" s="4" t="str">
        <f t="shared" si="1"/>
        <v/>
      </c>
      <c r="U35" s="4" t="e">
        <v>#N/A</v>
      </c>
      <c r="V35" s="4" t="str">
        <f>IFERROR(_xll.qlRateHelperQuoteName(U35,Trigger),"")</f>
        <v/>
      </c>
      <c r="W35" s="73" t="str">
        <f>IFERROR(_xll.qlRateHelperRate(U35,Trigger),"")</f>
        <v/>
      </c>
      <c r="X35" s="108" t="str">
        <f>IF(ISERROR(_xll.qlSwapRateHelperSpread($U35)),IF(ISERROR(_xll.qlFuturesRateHelperConvexityAdjustment($U35)),"",_xll.qlFuturesRateHelperConvexityAdjustment($U35)),_xll.qlSwapRateHelperSpread($U35))</f>
        <v/>
      </c>
      <c r="Y35" s="5" t="str">
        <f>IFERROR(_xll.qlRateHelperEarliestDate(U35,Trigger),"")</f>
        <v/>
      </c>
      <c r="Z35" s="5" t="str">
        <f>IFERROR(_xll.qlRateHelperPillarDate(U35,Trigger),"")</f>
        <v/>
      </c>
      <c r="AA35" s="81" t="e">
        <v>#N/A</v>
      </c>
      <c r="AB35" s="190"/>
    </row>
    <row r="36" spans="1:28" ht="11.25" customHeight="1" x14ac:dyDescent="0.2">
      <c r="A36" s="62" t="s">
        <v>71</v>
      </c>
      <c r="B36" s="63" t="s">
        <v>131</v>
      </c>
      <c r="C36" s="64">
        <f t="shared" si="10"/>
        <v>2</v>
      </c>
      <c r="D36" s="129"/>
      <c r="E36" s="65" t="str">
        <f t="shared" si="4"/>
        <v>SekiborON</v>
      </c>
      <c r="F36" s="66" t="str">
        <f t="shared" si="2"/>
        <v>SEKOIS30M_Quote</v>
      </c>
      <c r="G36" s="129"/>
      <c r="H36" s="67"/>
      <c r="J36" s="10" t="str">
        <f t="shared" si="5"/>
        <v>OIS</v>
      </c>
      <c r="K36" s="98" t="str">
        <f t="shared" si="6"/>
        <v>obj_00160#0000</v>
      </c>
      <c r="L36" s="148" t="str">
        <f>IFERROR(_xll.qlRateHelperQuoteName(K36,Trigger),"--")</f>
        <v>SEKOIS3Y_Quote</v>
      </c>
      <c r="M36" s="102">
        <f>IFERROR(_xll.qlRateHelperQuoteValue($K36,Trigger),"--")</f>
        <v>-2.0249999999999999E-3</v>
      </c>
      <c r="N36" s="101" t="b">
        <v>1</v>
      </c>
      <c r="O36" s="98">
        <v>50</v>
      </c>
      <c r="P36" s="98">
        <v>1</v>
      </c>
      <c r="Q36" s="103">
        <f>IFERROR(_xll.qlRateHelperEarliestDate(K36,Trigger),"--")</f>
        <v>42356</v>
      </c>
      <c r="R36" s="103">
        <f>IFERROR(_xll.qlRateHelperPillarDate(K36,Trigger),"--")</f>
        <v>43452</v>
      </c>
      <c r="T36" s="4" t="str">
        <f t="shared" si="1"/>
        <v/>
      </c>
      <c r="U36" s="4" t="e">
        <v>#N/A</v>
      </c>
      <c r="V36" s="4" t="str">
        <f>IFERROR(_xll.qlRateHelperQuoteName(U36,Trigger),"")</f>
        <v/>
      </c>
      <c r="W36" s="73" t="str">
        <f>IFERROR(_xll.qlRateHelperRate(U36,Trigger),"")</f>
        <v/>
      </c>
      <c r="X36" s="108" t="str">
        <f>IF(ISERROR(_xll.qlSwapRateHelperSpread($U36)),IF(ISERROR(_xll.qlFuturesRateHelperConvexityAdjustment($U36)),"",_xll.qlFuturesRateHelperConvexityAdjustment($U36)),_xll.qlSwapRateHelperSpread($U36))</f>
        <v/>
      </c>
      <c r="Y36" s="5" t="str">
        <f>IFERROR(_xll.qlRateHelperEarliestDate(U36,Trigger),"")</f>
        <v/>
      </c>
      <c r="Z36" s="5" t="str">
        <f>IFERROR(_xll.qlRateHelperPillarDate(U36,Trigger),"")</f>
        <v/>
      </c>
      <c r="AA36" s="81" t="e">
        <v>#N/A</v>
      </c>
      <c r="AB36" s="190"/>
    </row>
    <row r="37" spans="1:28" ht="11.25" customHeight="1" x14ac:dyDescent="0.2">
      <c r="A37" s="62" t="s">
        <v>71</v>
      </c>
      <c r="B37" s="63" t="s">
        <v>132</v>
      </c>
      <c r="C37" s="64">
        <f t="shared" si="10"/>
        <v>2</v>
      </c>
      <c r="D37" s="129"/>
      <c r="E37" s="65" t="str">
        <f t="shared" si="4"/>
        <v>SekiborON</v>
      </c>
      <c r="F37" s="66" t="str">
        <f t="shared" si="2"/>
        <v>SEKOIS33M_Quote</v>
      </c>
      <c r="G37" s="129"/>
      <c r="H37" s="67"/>
      <c r="J37" s="10" t="str">
        <f t="shared" si="5"/>
        <v>OIS</v>
      </c>
      <c r="K37" s="98" t="str">
        <f t="shared" si="6"/>
        <v>--</v>
      </c>
      <c r="L37" s="148" t="str">
        <f>IFERROR(_xll.qlRateHelperQuoteName(K37,Trigger),"--")</f>
        <v>--</v>
      </c>
      <c r="M37" s="102" t="str">
        <f>IFERROR(_xll.qlRateHelperQuoteValue($K37,Trigger),"--")</f>
        <v>--</v>
      </c>
      <c r="N37" s="101" t="b">
        <v>0</v>
      </c>
      <c r="O37" s="98">
        <v>50</v>
      </c>
      <c r="P37" s="98">
        <v>1</v>
      </c>
      <c r="Q37" s="103" t="str">
        <f>IFERROR(_xll.qlRateHelperEarliestDate(K37,Trigger),"--")</f>
        <v>--</v>
      </c>
      <c r="R37" s="103" t="str">
        <f>IFERROR(_xll.qlRateHelperPillarDate(K37,Trigger),"--")</f>
        <v>--</v>
      </c>
      <c r="T37" s="4" t="str">
        <f t="shared" si="1"/>
        <v/>
      </c>
      <c r="U37" s="4" t="e">
        <v>#N/A</v>
      </c>
      <c r="V37" s="4" t="str">
        <f>IFERROR(_xll.qlRateHelperQuoteName(U37,Trigger),"")</f>
        <v/>
      </c>
      <c r="W37" s="73" t="str">
        <f>IFERROR(_xll.qlRateHelperRate(U37,Trigger),"")</f>
        <v/>
      </c>
      <c r="X37" s="108" t="str">
        <f>IF(ISERROR(_xll.qlSwapRateHelperSpread($U37)),IF(ISERROR(_xll.qlFuturesRateHelperConvexityAdjustment($U37)),"",_xll.qlFuturesRateHelperConvexityAdjustment($U37)),_xll.qlSwapRateHelperSpread($U37))</f>
        <v/>
      </c>
      <c r="Y37" s="5" t="str">
        <f>IFERROR(_xll.qlRateHelperEarliestDate(U37,Trigger),"")</f>
        <v/>
      </c>
      <c r="Z37" s="5" t="str">
        <f>IFERROR(_xll.qlRateHelperPillarDate(U37,Trigger),"")</f>
        <v/>
      </c>
      <c r="AA37" s="81" t="e">
        <v>#N/A</v>
      </c>
      <c r="AB37" s="190"/>
    </row>
    <row r="38" spans="1:28" ht="11.25" customHeight="1" x14ac:dyDescent="0.2">
      <c r="A38" s="62" t="s">
        <v>71</v>
      </c>
      <c r="B38" s="63" t="s">
        <v>54</v>
      </c>
      <c r="C38" s="64">
        <f t="shared" si="10"/>
        <v>2</v>
      </c>
      <c r="D38" s="129"/>
      <c r="E38" s="65" t="str">
        <f t="shared" si="4"/>
        <v>SekiborON</v>
      </c>
      <c r="F38" s="66" t="str">
        <f t="shared" si="2"/>
        <v>SEKOIS3Y_Quote</v>
      </c>
      <c r="G38" s="129"/>
      <c r="H38" s="67" t="str">
        <f>_xll.qlOISRateHelper(,C38,B38,F38,$E38,,Permanent,Trigger,ObjectOverwrite)</f>
        <v>obj_00160#0000</v>
      </c>
      <c r="J38" s="10" t="str">
        <f t="shared" si="5"/>
        <v>OIS</v>
      </c>
      <c r="K38" s="98" t="str">
        <f t="shared" si="6"/>
        <v>--</v>
      </c>
      <c r="L38" s="148" t="str">
        <f>IFERROR(_xll.qlRateHelperQuoteName(K38,Trigger),"--")</f>
        <v>--</v>
      </c>
      <c r="M38" s="102" t="str">
        <f>IFERROR(_xll.qlRateHelperQuoteValue($K38,Trigger),"--")</f>
        <v>--</v>
      </c>
      <c r="N38" s="101" t="b">
        <v>0</v>
      </c>
      <c r="O38" s="98">
        <v>50</v>
      </c>
      <c r="P38" s="98">
        <v>1</v>
      </c>
      <c r="Q38" s="103" t="str">
        <f>IFERROR(_xll.qlRateHelperEarliestDate(K38,Trigger),"--")</f>
        <v>--</v>
      </c>
      <c r="R38" s="103" t="str">
        <f>IFERROR(_xll.qlRateHelperPillarDate(K38,Trigger),"--")</f>
        <v>--</v>
      </c>
      <c r="T38" s="4" t="str">
        <f t="shared" si="1"/>
        <v/>
      </c>
      <c r="U38" s="4" t="e">
        <v>#N/A</v>
      </c>
      <c r="V38" s="4" t="str">
        <f>IFERROR(_xll.qlRateHelperQuoteName(U38,Trigger),"")</f>
        <v/>
      </c>
      <c r="W38" s="73" t="str">
        <f>IFERROR(_xll.qlRateHelperRate(U38,Trigger),"")</f>
        <v/>
      </c>
      <c r="X38" s="108" t="str">
        <f>IF(ISERROR(_xll.qlSwapRateHelperSpread($U38)),IF(ISERROR(_xll.qlFuturesRateHelperConvexityAdjustment($U38)),"",_xll.qlFuturesRateHelperConvexityAdjustment($U38)),_xll.qlSwapRateHelperSpread($U38))</f>
        <v/>
      </c>
      <c r="Y38" s="5" t="str">
        <f>IFERROR(_xll.qlRateHelperEarliestDate(U38,Trigger),"")</f>
        <v/>
      </c>
      <c r="Z38" s="5" t="str">
        <f>IFERROR(_xll.qlRateHelperPillarDate(U38,Trigger),"")</f>
        <v/>
      </c>
      <c r="AA38" s="81" t="e">
        <v>#N/A</v>
      </c>
    </row>
    <row r="39" spans="1:28" ht="11.25" customHeight="1" x14ac:dyDescent="0.2">
      <c r="A39" s="62" t="s">
        <v>71</v>
      </c>
      <c r="B39" s="63" t="s">
        <v>133</v>
      </c>
      <c r="C39" s="64">
        <f t="shared" si="10"/>
        <v>2</v>
      </c>
      <c r="D39" s="129"/>
      <c r="E39" s="65" t="str">
        <f t="shared" si="4"/>
        <v>SekiborON</v>
      </c>
      <c r="F39" s="66" t="str">
        <f t="shared" ref="F39:F61" si="11">Currency&amp;$E$5&amp;IF($B39="1W","SW",$B39)&amp;QuoteSuffix</f>
        <v>SEKOIS39M_Quote</v>
      </c>
      <c r="G39" s="129"/>
      <c r="H39" s="67"/>
      <c r="J39" s="10" t="str">
        <f t="shared" si="5"/>
        <v>OIS</v>
      </c>
      <c r="K39" s="98" t="str">
        <f t="shared" si="6"/>
        <v>--</v>
      </c>
      <c r="L39" s="148" t="str">
        <f>IFERROR(_xll.qlRateHelperQuoteName(K39,Trigger),"--")</f>
        <v>--</v>
      </c>
      <c r="M39" s="102" t="str">
        <f>IFERROR(_xll.qlRateHelperQuoteValue($K39,Trigger),"--")</f>
        <v>--</v>
      </c>
      <c r="N39" s="101" t="b">
        <v>0</v>
      </c>
      <c r="O39" s="98">
        <v>50</v>
      </c>
      <c r="P39" s="98">
        <v>1</v>
      </c>
      <c r="Q39" s="103" t="str">
        <f>IFERROR(_xll.qlRateHelperEarliestDate(K39,Trigger),"--")</f>
        <v>--</v>
      </c>
      <c r="R39" s="103" t="str">
        <f>IFERROR(_xll.qlRateHelperPillarDate(K39,Trigger),"--")</f>
        <v>--</v>
      </c>
      <c r="T39" s="4" t="str">
        <f t="shared" si="1"/>
        <v/>
      </c>
      <c r="U39" s="4" t="e">
        <v>#N/A</v>
      </c>
      <c r="V39" s="4" t="str">
        <f>IFERROR(_xll.qlRateHelperQuoteName(U39,Trigger),"")</f>
        <v/>
      </c>
      <c r="W39" s="73" t="str">
        <f>IFERROR(_xll.qlRateHelperRate(U39,Trigger),"")</f>
        <v/>
      </c>
      <c r="X39" s="108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81" t="e">
        <v>#N/A</v>
      </c>
    </row>
    <row r="40" spans="1:28" ht="11.25" customHeight="1" x14ac:dyDescent="0.2">
      <c r="A40" s="62" t="s">
        <v>71</v>
      </c>
      <c r="B40" s="63" t="s">
        <v>134</v>
      </c>
      <c r="C40" s="64">
        <f t="shared" si="10"/>
        <v>2</v>
      </c>
      <c r="D40" s="129"/>
      <c r="E40" s="65" t="str">
        <f t="shared" si="4"/>
        <v>SekiborON</v>
      </c>
      <c r="F40" s="66" t="str">
        <f t="shared" si="11"/>
        <v>SEKOIS42M_Quote</v>
      </c>
      <c r="G40" s="129"/>
      <c r="H40" s="67"/>
      <c r="J40" s="10" t="str">
        <f t="shared" si="5"/>
        <v>OIS</v>
      </c>
      <c r="K40" s="98" t="str">
        <f t="shared" si="6"/>
        <v>obj_0015c#0000</v>
      </c>
      <c r="L40" s="148" t="str">
        <f>IFERROR(_xll.qlRateHelperQuoteName(K40,Trigger),"--")</f>
        <v>SEKOIS4Y_Quote</v>
      </c>
      <c r="M40" s="102">
        <f>IFERROR(_xll.qlRateHelperQuoteValue($K40,Trigger),"--")</f>
        <v>-7.4999999999999993E-5</v>
      </c>
      <c r="N40" s="101" t="b">
        <v>1</v>
      </c>
      <c r="O40" s="98">
        <v>50</v>
      </c>
      <c r="P40" s="98">
        <v>1</v>
      </c>
      <c r="Q40" s="103">
        <f>IFERROR(_xll.qlRateHelperEarliestDate(K40,Trigger),"--")</f>
        <v>42356</v>
      </c>
      <c r="R40" s="103">
        <f>IFERROR(_xll.qlRateHelperPillarDate(K40,Trigger),"--")</f>
        <v>43817</v>
      </c>
      <c r="T40" s="4" t="str">
        <f t="shared" si="1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8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81" t="e">
        <v>#N/A</v>
      </c>
    </row>
    <row r="41" spans="1:28" ht="11.25" customHeight="1" x14ac:dyDescent="0.2">
      <c r="A41" s="62" t="s">
        <v>71</v>
      </c>
      <c r="B41" s="63" t="s">
        <v>135</v>
      </c>
      <c r="C41" s="64">
        <f t="shared" si="10"/>
        <v>2</v>
      </c>
      <c r="D41" s="129"/>
      <c r="E41" s="65" t="str">
        <f t="shared" si="4"/>
        <v>SekiborON</v>
      </c>
      <c r="F41" s="66" t="str">
        <f t="shared" si="11"/>
        <v>SEKOIS45M_Quote</v>
      </c>
      <c r="G41" s="129"/>
      <c r="H41" s="67"/>
      <c r="J41" s="10" t="str">
        <f t="shared" si="5"/>
        <v>OIS</v>
      </c>
      <c r="K41" s="98" t="str">
        <f t="shared" si="6"/>
        <v>--</v>
      </c>
      <c r="L41" s="148" t="str">
        <f>IFERROR(_xll.qlRateHelperQuoteName(K41,Trigger),"--")</f>
        <v>--</v>
      </c>
      <c r="M41" s="102" t="str">
        <f>IFERROR(_xll.qlRateHelperQuoteValue($K41,Trigger),"--")</f>
        <v>--</v>
      </c>
      <c r="N41" s="101" t="b">
        <v>0</v>
      </c>
      <c r="O41" s="98">
        <v>50</v>
      </c>
      <c r="P41" s="98">
        <v>1</v>
      </c>
      <c r="Q41" s="103" t="str">
        <f>IFERROR(_xll.qlRateHelperEarliestDate(K41,Trigger),"--")</f>
        <v>--</v>
      </c>
      <c r="R41" s="103" t="str">
        <f>IFERROR(_xll.qlRateHelperPillarDate(K41,Trigger),"--")</f>
        <v>--</v>
      </c>
      <c r="T41" s="4" t="str">
        <f t="shared" si="1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8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81" t="e">
        <v>#N/A</v>
      </c>
    </row>
    <row r="42" spans="1:28" ht="11.25" customHeight="1" x14ac:dyDescent="0.2">
      <c r="A42" s="62" t="s">
        <v>71</v>
      </c>
      <c r="B42" s="63" t="s">
        <v>55</v>
      </c>
      <c r="C42" s="64">
        <f t="shared" si="10"/>
        <v>2</v>
      </c>
      <c r="D42" s="129"/>
      <c r="E42" s="65" t="str">
        <f t="shared" si="4"/>
        <v>SekiborON</v>
      </c>
      <c r="F42" s="66" t="str">
        <f t="shared" si="11"/>
        <v>SEKOIS4Y_Quote</v>
      </c>
      <c r="G42" s="129"/>
      <c r="H42" s="67" t="str">
        <f>_xll.qlOISRateHelper(,C42,B42,F42,$E42,,Permanent,Trigger,ObjectOverwrite)</f>
        <v>obj_0015c#0000</v>
      </c>
      <c r="J42" s="10" t="str">
        <f t="shared" si="5"/>
        <v>OIS</v>
      </c>
      <c r="K42" s="98" t="str">
        <f t="shared" si="6"/>
        <v>--</v>
      </c>
      <c r="L42" s="148" t="str">
        <f>IFERROR(_xll.qlRateHelperQuoteName(K42,Trigger),"--")</f>
        <v>--</v>
      </c>
      <c r="M42" s="102" t="str">
        <f>IFERROR(_xll.qlRateHelperQuoteValue($K42,Trigger),"--")</f>
        <v>--</v>
      </c>
      <c r="N42" s="101" t="b">
        <v>0</v>
      </c>
      <c r="O42" s="98">
        <v>50</v>
      </c>
      <c r="P42" s="98">
        <v>1</v>
      </c>
      <c r="Q42" s="103" t="str">
        <f>IFERROR(_xll.qlRateHelperEarliestDate(K42,Trigger),"--")</f>
        <v>--</v>
      </c>
      <c r="R42" s="103" t="str">
        <f>IFERROR(_xll.qlRateHelperPillarDate(K42,Trigger),"--")</f>
        <v>--</v>
      </c>
      <c r="T42" s="4" t="str">
        <f t="shared" si="1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8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81" t="e">
        <v>#N/A</v>
      </c>
    </row>
    <row r="43" spans="1:28" ht="11.25" customHeight="1" x14ac:dyDescent="0.2">
      <c r="A43" s="62" t="s">
        <v>71</v>
      </c>
      <c r="B43" s="63" t="s">
        <v>136</v>
      </c>
      <c r="C43" s="64">
        <f t="shared" ref="C43:C61" si="12">IF(B43="O/N",0,IF(B43="T/N",1,2))</f>
        <v>2</v>
      </c>
      <c r="D43" s="129"/>
      <c r="E43" s="65" t="str">
        <f t="shared" si="4"/>
        <v>SekiborON</v>
      </c>
      <c r="F43" s="66" t="str">
        <f t="shared" si="11"/>
        <v>SEKOIS51M_Quote</v>
      </c>
      <c r="G43" s="129"/>
      <c r="H43" s="67"/>
      <c r="J43" s="10" t="str">
        <f t="shared" si="5"/>
        <v>OIS</v>
      </c>
      <c r="K43" s="98" t="str">
        <f t="shared" si="6"/>
        <v>--</v>
      </c>
      <c r="L43" s="148" t="str">
        <f>IFERROR(_xll.qlRateHelperQuoteName(K43,Trigger),"--")</f>
        <v>--</v>
      </c>
      <c r="M43" s="102" t="str">
        <f>IFERROR(_xll.qlRateHelperQuoteValue($K43,Trigger),"--")</f>
        <v>--</v>
      </c>
      <c r="N43" s="101" t="b">
        <v>0</v>
      </c>
      <c r="O43" s="98">
        <v>50</v>
      </c>
      <c r="P43" s="98">
        <v>1</v>
      </c>
      <c r="Q43" s="103" t="str">
        <f>IFERROR(_xll.qlRateHelperEarliestDate(K43,Trigger),"--")</f>
        <v>--</v>
      </c>
      <c r="R43" s="103" t="str">
        <f>IFERROR(_xll.qlRateHelperPillarDate(K43,Trigger),"--")</f>
        <v>--</v>
      </c>
      <c r="T43" s="4" t="str">
        <f t="shared" si="1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8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81" t="e">
        <v>#N/A</v>
      </c>
    </row>
    <row r="44" spans="1:28" ht="11.25" customHeight="1" x14ac:dyDescent="0.2">
      <c r="A44" s="62" t="s">
        <v>71</v>
      </c>
      <c r="B44" s="63" t="s">
        <v>137</v>
      </c>
      <c r="C44" s="64">
        <f t="shared" si="12"/>
        <v>2</v>
      </c>
      <c r="D44" s="129"/>
      <c r="E44" s="65" t="str">
        <f t="shared" si="4"/>
        <v>SekiborON</v>
      </c>
      <c r="F44" s="66" t="str">
        <f t="shared" si="11"/>
        <v>SEKOIS54M_Quote</v>
      </c>
      <c r="G44" s="129"/>
      <c r="H44" s="67"/>
      <c r="J44" s="10" t="str">
        <f t="shared" si="5"/>
        <v>OIS</v>
      </c>
      <c r="K44" s="98" t="str">
        <f t="shared" si="6"/>
        <v>obj_00138#0000</v>
      </c>
      <c r="L44" s="148" t="str">
        <f>IFERROR(_xll.qlRateHelperQuoteName(K44,Trigger),"--")</f>
        <v>SEKOIS5Y_Quote</v>
      </c>
      <c r="M44" s="102">
        <f>IFERROR(_xll.qlRateHelperQuoteValue($K44,Trigger),"--")</f>
        <v>2.3999999999999998E-3</v>
      </c>
      <c r="N44" s="101" t="b">
        <v>1</v>
      </c>
      <c r="O44" s="98">
        <v>50</v>
      </c>
      <c r="P44" s="98">
        <v>1</v>
      </c>
      <c r="Q44" s="103">
        <f>IFERROR(_xll.qlRateHelperEarliestDate(K44,Trigger),"--")</f>
        <v>42356</v>
      </c>
      <c r="R44" s="103">
        <f>IFERROR(_xll.qlRateHelperPillarDate(K44,Trigger),"--")</f>
        <v>44183</v>
      </c>
      <c r="T44" s="4" t="str">
        <f t="shared" si="1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8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81" t="e">
        <v>#N/A</v>
      </c>
    </row>
    <row r="45" spans="1:28" ht="11.25" customHeight="1" x14ac:dyDescent="0.2">
      <c r="A45" s="62" t="s">
        <v>71</v>
      </c>
      <c r="B45" s="63" t="s">
        <v>138</v>
      </c>
      <c r="C45" s="64">
        <f t="shared" si="12"/>
        <v>2</v>
      </c>
      <c r="D45" s="129"/>
      <c r="E45" s="65" t="str">
        <f t="shared" si="4"/>
        <v>SekiborON</v>
      </c>
      <c r="F45" s="66" t="str">
        <f t="shared" si="11"/>
        <v>SEKOIS57M_Quote</v>
      </c>
      <c r="G45" s="129"/>
      <c r="H45" s="67"/>
      <c r="J45" s="10" t="str">
        <f t="shared" si="5"/>
        <v>OIS</v>
      </c>
      <c r="K45" s="98" t="str">
        <f t="shared" si="6"/>
        <v>obj_00135#0000</v>
      </c>
      <c r="L45" s="148" t="str">
        <f>IFERROR(_xll.qlRateHelperQuoteName(K45,Trigger),"--")</f>
        <v>SEKOIS6Y_Quote</v>
      </c>
      <c r="M45" s="102">
        <f>IFERROR(_xll.qlRateHelperQuoteValue($K45,Trigger),"--")</f>
        <v>4.7499999999999999E-3</v>
      </c>
      <c r="N45" s="101" t="b">
        <v>1</v>
      </c>
      <c r="O45" s="98">
        <v>50</v>
      </c>
      <c r="P45" s="98">
        <v>1</v>
      </c>
      <c r="Q45" s="103">
        <f>IFERROR(_xll.qlRateHelperEarliestDate(K45,Trigger),"--")</f>
        <v>42356</v>
      </c>
      <c r="R45" s="103">
        <f>IFERROR(_xll.qlRateHelperPillarDate(K45,Trigger),"--")</f>
        <v>44550</v>
      </c>
      <c r="T45" s="4" t="str">
        <f t="shared" si="1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8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81" t="e">
        <v>#N/A</v>
      </c>
    </row>
    <row r="46" spans="1:28" ht="11.25" customHeight="1" x14ac:dyDescent="0.2">
      <c r="A46" s="62" t="s">
        <v>71</v>
      </c>
      <c r="B46" s="63" t="s">
        <v>56</v>
      </c>
      <c r="C46" s="64">
        <f t="shared" si="12"/>
        <v>2</v>
      </c>
      <c r="D46" s="129"/>
      <c r="E46" s="65" t="str">
        <f t="shared" si="4"/>
        <v>SekiborON</v>
      </c>
      <c r="F46" s="66" t="str">
        <f t="shared" si="11"/>
        <v>SEKOIS5Y_Quote</v>
      </c>
      <c r="G46" s="129"/>
      <c r="H46" s="67" t="str">
        <f>_xll.qlOISRateHelper(,C46,B46,F46,$E46,,Permanent,Trigger,ObjectOverwrite)</f>
        <v>obj_00138#0000</v>
      </c>
      <c r="J46" s="10" t="str">
        <f t="shared" si="5"/>
        <v>OIS</v>
      </c>
      <c r="K46" s="98" t="str">
        <f t="shared" si="6"/>
        <v>obj_00113#0000</v>
      </c>
      <c r="L46" s="148" t="str">
        <f>IFERROR(_xll.qlRateHelperQuoteName(K46,Trigger),"--")</f>
        <v>SEKOIS7Y_Quote</v>
      </c>
      <c r="M46" s="102">
        <f>IFERROR(_xll.qlRateHelperQuoteValue($K46,Trigger),"--")</f>
        <v>6.8499999999999993E-3</v>
      </c>
      <c r="N46" s="101" t="b">
        <v>1</v>
      </c>
      <c r="O46" s="98">
        <v>50</v>
      </c>
      <c r="P46" s="98">
        <v>1</v>
      </c>
      <c r="Q46" s="103">
        <f>IFERROR(_xll.qlRateHelperEarliestDate(K46,Trigger),"--")</f>
        <v>42356</v>
      </c>
      <c r="R46" s="103">
        <f>IFERROR(_xll.qlRateHelperPillarDate(K46,Trigger),"--")</f>
        <v>44914</v>
      </c>
      <c r="T46" s="4" t="str">
        <f t="shared" si="1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8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81" t="e">
        <v>#N/A</v>
      </c>
    </row>
    <row r="47" spans="1:28" ht="11.25" customHeight="1" x14ac:dyDescent="0.2">
      <c r="A47" s="62" t="s">
        <v>71</v>
      </c>
      <c r="B47" s="63" t="s">
        <v>57</v>
      </c>
      <c r="C47" s="64">
        <f t="shared" si="12"/>
        <v>2</v>
      </c>
      <c r="D47" s="129"/>
      <c r="E47" s="65" t="str">
        <f t="shared" si="4"/>
        <v>SekiborON</v>
      </c>
      <c r="F47" s="66" t="str">
        <f t="shared" si="11"/>
        <v>SEKOIS6Y_Quote</v>
      </c>
      <c r="G47" s="129"/>
      <c r="H47" s="67" t="str">
        <f>_xll.qlOISRateHelper(,C47,B47,F47,$E47,,Permanent,Trigger,ObjectOverwrite)</f>
        <v>obj_00135#0000</v>
      </c>
      <c r="J47" s="10" t="str">
        <f t="shared" si="5"/>
        <v>OIS</v>
      </c>
      <c r="K47" s="98" t="str">
        <f t="shared" si="6"/>
        <v>obj_00139#0000</v>
      </c>
      <c r="L47" s="148" t="str">
        <f>IFERROR(_xll.qlRateHelperQuoteName(K47,Trigger),"--")</f>
        <v>SEKOIS8Y_Quote</v>
      </c>
      <c r="M47" s="102">
        <f>IFERROR(_xll.qlRateHelperQuoteValue($K47,Trigger),"--")</f>
        <v>8.6750000000000004E-3</v>
      </c>
      <c r="N47" s="101" t="b">
        <v>1</v>
      </c>
      <c r="O47" s="98">
        <v>50</v>
      </c>
      <c r="P47" s="98">
        <v>1</v>
      </c>
      <c r="Q47" s="103">
        <f>IFERROR(_xll.qlRateHelperEarliestDate(K47,Trigger),"--")</f>
        <v>42356</v>
      </c>
      <c r="R47" s="103">
        <f>IFERROR(_xll.qlRateHelperPillarDate(K47,Trigger),"--")</f>
        <v>45278</v>
      </c>
      <c r="T47" s="4" t="str">
        <f t="shared" si="1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8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81" t="e">
        <v>#N/A</v>
      </c>
    </row>
    <row r="48" spans="1:28" ht="11.25" customHeight="1" x14ac:dyDescent="0.2">
      <c r="A48" s="62" t="s">
        <v>71</v>
      </c>
      <c r="B48" s="63" t="s">
        <v>58</v>
      </c>
      <c r="C48" s="64">
        <f t="shared" si="12"/>
        <v>2</v>
      </c>
      <c r="D48" s="129"/>
      <c r="E48" s="65" t="str">
        <f t="shared" si="4"/>
        <v>SekiborON</v>
      </c>
      <c r="F48" s="66" t="str">
        <f t="shared" si="11"/>
        <v>SEKOIS7Y_Quote</v>
      </c>
      <c r="G48" s="129"/>
      <c r="H48" s="67" t="str">
        <f>_xll.qlOISRateHelper(,C48,B48,F48,$E48,,Permanent,Trigger,ObjectOverwrite)</f>
        <v>obj_00113#0000</v>
      </c>
      <c r="J48" s="10" t="str">
        <f t="shared" si="5"/>
        <v>OIS</v>
      </c>
      <c r="K48" s="98" t="str">
        <f t="shared" si="6"/>
        <v>obj_0012f#0000</v>
      </c>
      <c r="L48" s="148" t="str">
        <f>IFERROR(_xll.qlRateHelperQuoteName(K48,Trigger),"--")</f>
        <v>SEKOIS9Y_Quote</v>
      </c>
      <c r="M48" s="102">
        <f>IFERROR(_xll.qlRateHelperQuoteValue($K48,Trigger),"--")</f>
        <v>1.0275000000000001E-2</v>
      </c>
      <c r="N48" s="101" t="b">
        <v>1</v>
      </c>
      <c r="O48" s="98">
        <v>50</v>
      </c>
      <c r="P48" s="98">
        <v>1</v>
      </c>
      <c r="Q48" s="103">
        <f>IFERROR(_xll.qlRateHelperEarliestDate(K48,Trigger),"--")</f>
        <v>42356</v>
      </c>
      <c r="R48" s="103">
        <f>IFERROR(_xll.qlRateHelperPillarDate(K48,Trigger),"--")</f>
        <v>45644</v>
      </c>
      <c r="T48" s="4" t="str">
        <f t="shared" si="1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8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81" t="e">
        <v>#N/A</v>
      </c>
    </row>
    <row r="49" spans="1:27" ht="11.25" customHeight="1" x14ac:dyDescent="0.2">
      <c r="A49" s="62" t="s">
        <v>71</v>
      </c>
      <c r="B49" s="63" t="s">
        <v>59</v>
      </c>
      <c r="C49" s="64">
        <f t="shared" si="12"/>
        <v>2</v>
      </c>
      <c r="D49" s="129"/>
      <c r="E49" s="65" t="str">
        <f t="shared" si="4"/>
        <v>SekiborON</v>
      </c>
      <c r="F49" s="66" t="str">
        <f t="shared" si="11"/>
        <v>SEKOIS8Y_Quote</v>
      </c>
      <c r="G49" s="129"/>
      <c r="H49" s="67" t="str">
        <f>_xll.qlOISRateHelper(,C49,B49,F49,$E49,,Permanent,Trigger,ObjectOverwrite)</f>
        <v>obj_00139#0000</v>
      </c>
      <c r="J49" s="10" t="str">
        <f t="shared" si="5"/>
        <v>OIS</v>
      </c>
      <c r="K49" s="98" t="str">
        <f t="shared" si="6"/>
        <v>obj_00132#0000</v>
      </c>
      <c r="L49" s="148" t="str">
        <f>IFERROR(_xll.qlRateHelperQuoteName(K49,Trigger),"--")</f>
        <v>SEKOIS10Y_Quote</v>
      </c>
      <c r="M49" s="102">
        <f>IFERROR(_xll.qlRateHelperQuoteValue($K49,Trigger),"--")</f>
        <v>1.1699999999999999E-2</v>
      </c>
      <c r="N49" s="101" t="b">
        <v>1</v>
      </c>
      <c r="O49" s="98">
        <v>50</v>
      </c>
      <c r="P49" s="98">
        <v>1</v>
      </c>
      <c r="Q49" s="103">
        <f>IFERROR(_xll.qlRateHelperEarliestDate(K49,Trigger),"--")</f>
        <v>42356</v>
      </c>
      <c r="R49" s="103">
        <f>IFERROR(_xll.qlRateHelperPillarDate(K49,Trigger),"--")</f>
        <v>46009</v>
      </c>
      <c r="T49" s="4" t="str">
        <f t="shared" si="1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8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81" t="e">
        <v>#N/A</v>
      </c>
    </row>
    <row r="50" spans="1:27" ht="11.25" customHeight="1" x14ac:dyDescent="0.2">
      <c r="A50" s="62" t="s">
        <v>71</v>
      </c>
      <c r="B50" s="63" t="s">
        <v>60</v>
      </c>
      <c r="C50" s="64">
        <f t="shared" si="12"/>
        <v>2</v>
      </c>
      <c r="D50" s="129"/>
      <c r="E50" s="65" t="str">
        <f t="shared" si="4"/>
        <v>SekiborON</v>
      </c>
      <c r="F50" s="66" t="str">
        <f t="shared" si="11"/>
        <v>SEKOIS9Y_Quote</v>
      </c>
      <c r="G50" s="129"/>
      <c r="H50" s="67" t="str">
        <f>_xll.qlOISRateHelper(,C50,B50,F50,$E50,,Permanent,Trigger,ObjectOverwrite)</f>
        <v>obj_0012f#0000</v>
      </c>
      <c r="J50" s="10" t="str">
        <f t="shared" si="5"/>
        <v>OIS</v>
      </c>
      <c r="K50" s="98" t="str">
        <f t="shared" si="6"/>
        <v>obj_0012d#0000</v>
      </c>
      <c r="L50" s="148" t="str">
        <f>IFERROR(_xll.qlRateHelperQuoteName(K50,Trigger),"--")</f>
        <v>SEKOIS12Y_Quote</v>
      </c>
      <c r="M50" s="102">
        <f>IFERROR(_xll.qlRateHelperQuoteValue($K50,Trigger),"--")</f>
        <v>1.405E-2</v>
      </c>
      <c r="N50" s="101" t="b">
        <v>1</v>
      </c>
      <c r="O50" s="98">
        <v>50</v>
      </c>
      <c r="P50" s="98">
        <v>1</v>
      </c>
      <c r="Q50" s="103">
        <f>IFERROR(_xll.qlRateHelperEarliestDate(K50,Trigger),"--")</f>
        <v>42356</v>
      </c>
      <c r="R50" s="103">
        <f>IFERROR(_xll.qlRateHelperPillarDate(K50,Trigger),"--")</f>
        <v>46741</v>
      </c>
      <c r="T50" s="4" t="str">
        <f t="shared" si="1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8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81" t="e">
        <v>#N/A</v>
      </c>
    </row>
    <row r="51" spans="1:27" ht="11.25" customHeight="1" x14ac:dyDescent="0.2">
      <c r="A51" s="62" t="s">
        <v>71</v>
      </c>
      <c r="B51" s="63" t="s">
        <v>61</v>
      </c>
      <c r="C51" s="64">
        <f t="shared" si="12"/>
        <v>2</v>
      </c>
      <c r="D51" s="129"/>
      <c r="E51" s="65" t="str">
        <f t="shared" si="4"/>
        <v>SekiborON</v>
      </c>
      <c r="F51" s="66" t="str">
        <f t="shared" si="11"/>
        <v>SEKOIS10Y_Quote</v>
      </c>
      <c r="G51" s="129"/>
      <c r="H51" s="67" t="str">
        <f>_xll.qlOISRateHelper(,C51,B51,F51,$E51,,Permanent,Trigger,ObjectOverwrite)</f>
        <v>obj_00132#0000</v>
      </c>
      <c r="J51" s="10" t="str">
        <f t="shared" si="5"/>
        <v>OIS</v>
      </c>
      <c r="K51" s="98" t="str">
        <f t="shared" si="6"/>
        <v>obj_00134#0000</v>
      </c>
      <c r="L51" s="148" t="str">
        <f>IFERROR(_xll.qlRateHelperQuoteName(K51,Trigger),"--")</f>
        <v>SEKOIS15Y_Quote</v>
      </c>
      <c r="M51" s="102">
        <f>IFERROR(_xll.qlRateHelperQuoteValue($K51,Trigger),"--")</f>
        <v>1.6674999999999999E-2</v>
      </c>
      <c r="N51" s="101" t="b">
        <v>1</v>
      </c>
      <c r="O51" s="98">
        <v>50</v>
      </c>
      <c r="P51" s="98">
        <v>1</v>
      </c>
      <c r="Q51" s="103">
        <f>IFERROR(_xll.qlRateHelperEarliestDate(K51,Trigger),"--")</f>
        <v>42356</v>
      </c>
      <c r="R51" s="103">
        <f>IFERROR(_xll.qlRateHelperPillarDate(K51,Trigger),"--")</f>
        <v>47835</v>
      </c>
      <c r="T51" s="4" t="str">
        <f t="shared" si="1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8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81" t="e">
        <v>#N/A</v>
      </c>
    </row>
    <row r="52" spans="1:27" ht="11.25" customHeight="1" x14ac:dyDescent="0.2">
      <c r="A52" s="62" t="s">
        <v>71</v>
      </c>
      <c r="B52" s="63" t="s">
        <v>62</v>
      </c>
      <c r="C52" s="64">
        <f t="shared" si="12"/>
        <v>2</v>
      </c>
      <c r="D52" s="129"/>
      <c r="E52" s="65" t="str">
        <f t="shared" si="4"/>
        <v>SekiborON</v>
      </c>
      <c r="F52" s="66" t="str">
        <f t="shared" si="11"/>
        <v>SEKOIS12Y_Quote</v>
      </c>
      <c r="G52" s="129"/>
      <c r="H52" s="67" t="str">
        <f>_xll.qlOISRateHelper(,C52,B52,F52,$E52,,Permanent,Trigger,ObjectOverwrite)</f>
        <v>obj_0012d#0000</v>
      </c>
      <c r="J52" s="10" t="str">
        <f t="shared" si="5"/>
        <v>OIS</v>
      </c>
      <c r="K52" s="98" t="str">
        <f t="shared" si="6"/>
        <v>obj_00130#0000</v>
      </c>
      <c r="L52" s="148" t="str">
        <f>IFERROR(_xll.qlRateHelperQuoteName(K52,Trigger),"--")</f>
        <v>SEKOIS20Y_Quote</v>
      </c>
      <c r="M52" s="102">
        <f>IFERROR(_xll.qlRateHelperQuoteValue($K52,Trigger),"--")</f>
        <v>1.9574999999999999E-2</v>
      </c>
      <c r="N52" s="101" t="b">
        <v>1</v>
      </c>
      <c r="O52" s="98">
        <v>50</v>
      </c>
      <c r="P52" s="98">
        <v>1</v>
      </c>
      <c r="Q52" s="103">
        <f>IFERROR(_xll.qlRateHelperEarliestDate(K52,Trigger),"--")</f>
        <v>42356</v>
      </c>
      <c r="R52" s="103">
        <f>IFERROR(_xll.qlRateHelperPillarDate(K52,Trigger),"--")</f>
        <v>49661</v>
      </c>
      <c r="T52" s="4" t="str">
        <f t="shared" si="1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8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81" t="e">
        <v>#N/A</v>
      </c>
    </row>
    <row r="53" spans="1:27" ht="11.25" customHeight="1" x14ac:dyDescent="0.2">
      <c r="A53" s="62" t="s">
        <v>71</v>
      </c>
      <c r="B53" s="63" t="s">
        <v>63</v>
      </c>
      <c r="C53" s="64">
        <f t="shared" si="12"/>
        <v>2</v>
      </c>
      <c r="D53" s="129"/>
      <c r="E53" s="65" t="str">
        <f t="shared" si="4"/>
        <v>SekiborON</v>
      </c>
      <c r="F53" s="66" t="str">
        <f t="shared" si="11"/>
        <v>SEKOIS15Y_Quote</v>
      </c>
      <c r="G53" s="129"/>
      <c r="H53" s="67" t="str">
        <f>_xll.qlOISRateHelper(,C53,B53,F53,$E53,,Permanent,Trigger,ObjectOverwrite)</f>
        <v>obj_00134#0000</v>
      </c>
      <c r="J53" s="10" t="str">
        <f t="shared" si="5"/>
        <v>OIS</v>
      </c>
      <c r="K53" s="98" t="str">
        <f t="shared" si="6"/>
        <v>obj_00131#0000</v>
      </c>
      <c r="L53" s="148" t="str">
        <f>IFERROR(_xll.qlRateHelperQuoteName(K53,Trigger),"--")</f>
        <v>SEKOIS25Y_Quote</v>
      </c>
      <c r="M53" s="102">
        <f>IFERROR(_xll.qlRateHelperQuoteValue($K53,Trigger),"--")</f>
        <v>2.0899999999999998E-2</v>
      </c>
      <c r="N53" s="101" t="b">
        <v>1</v>
      </c>
      <c r="O53" s="98">
        <v>50</v>
      </c>
      <c r="P53" s="98">
        <v>1</v>
      </c>
      <c r="Q53" s="103">
        <f>IFERROR(_xll.qlRateHelperEarliestDate(K53,Trigger),"--")</f>
        <v>42356</v>
      </c>
      <c r="R53" s="103">
        <f>IFERROR(_xll.qlRateHelperPillarDate(K53,Trigger),"--")</f>
        <v>51488</v>
      </c>
      <c r="T53" s="4" t="str">
        <f t="shared" si="1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8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81" t="e">
        <v>#N/A</v>
      </c>
    </row>
    <row r="54" spans="1:27" ht="11.25" customHeight="1" x14ac:dyDescent="0.2">
      <c r="A54" s="62" t="s">
        <v>71</v>
      </c>
      <c r="B54" s="63" t="s">
        <v>64</v>
      </c>
      <c r="C54" s="64">
        <f t="shared" si="12"/>
        <v>2</v>
      </c>
      <c r="D54" s="129"/>
      <c r="E54" s="65" t="str">
        <f t="shared" si="4"/>
        <v>SekiborON</v>
      </c>
      <c r="F54" s="66" t="str">
        <f t="shared" si="11"/>
        <v>SEKOIS20Y_Quote</v>
      </c>
      <c r="G54" s="129"/>
      <c r="H54" s="67" t="str">
        <f>_xll.qlOISRateHelper(,C54,B54,F54,$E54,,Permanent,Trigger,ObjectOverwrite)</f>
        <v>obj_00130#0000</v>
      </c>
      <c r="J54" s="10" t="str">
        <f t="shared" si="5"/>
        <v>OIS</v>
      </c>
      <c r="K54" s="98" t="str">
        <f t="shared" si="6"/>
        <v>--</v>
      </c>
      <c r="L54" s="148" t="str">
        <f>IFERROR(_xll.qlRateHelperQuoteName(K54,Trigger),"--")</f>
        <v>--</v>
      </c>
      <c r="M54" s="102" t="str">
        <f>IFERROR(_xll.qlRateHelperQuoteValue($K54,Trigger),"--")</f>
        <v>--</v>
      </c>
      <c r="N54" s="101" t="b">
        <v>0</v>
      </c>
      <c r="O54" s="98">
        <v>50</v>
      </c>
      <c r="P54" s="98">
        <v>1</v>
      </c>
      <c r="Q54" s="103" t="str">
        <f>IFERROR(_xll.qlRateHelperEarliestDate(K54,Trigger),"--")</f>
        <v>--</v>
      </c>
      <c r="R54" s="103" t="str">
        <f>IFERROR(_xll.qlRateHelperPillarDate(K54,Trigger),"--")</f>
        <v>--</v>
      </c>
      <c r="T54" s="4" t="str">
        <f t="shared" si="1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8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81" t="e">
        <v>#N/A</v>
      </c>
    </row>
    <row r="55" spans="1:27" ht="11.25" customHeight="1" x14ac:dyDescent="0.2">
      <c r="A55" s="62" t="s">
        <v>71</v>
      </c>
      <c r="B55" s="63" t="s">
        <v>65</v>
      </c>
      <c r="C55" s="64">
        <f t="shared" si="12"/>
        <v>2</v>
      </c>
      <c r="D55" s="129"/>
      <c r="E55" s="65" t="str">
        <f t="shared" si="4"/>
        <v>SekiborON</v>
      </c>
      <c r="F55" s="66" t="str">
        <f t="shared" si="11"/>
        <v>SEKOIS25Y_Quote</v>
      </c>
      <c r="G55" s="129"/>
      <c r="H55" s="67" t="str">
        <f>_xll.qlOISRateHelper(,C55,B55,F55,$E55,,Permanent,Trigger,ObjectOverwrite)</f>
        <v>obj_00131#0000</v>
      </c>
      <c r="J55" s="10" t="str">
        <f t="shared" si="5"/>
        <v>OIS</v>
      </c>
      <c r="K55" s="98" t="str">
        <f t="shared" si="6"/>
        <v>obj_00137#0000</v>
      </c>
      <c r="L55" s="148" t="str">
        <f>IFERROR(_xll.qlRateHelperQuoteName(K55,Trigger),"--")</f>
        <v>SEKOIS30Y_Quote</v>
      </c>
      <c r="M55" s="102">
        <f>IFERROR(_xll.qlRateHelperQuoteValue($K55,Trigger),"--")</f>
        <v>2.1299999999999999E-2</v>
      </c>
      <c r="N55" s="101" t="b">
        <v>1</v>
      </c>
      <c r="O55" s="98">
        <v>50</v>
      </c>
      <c r="P55" s="98">
        <v>1</v>
      </c>
      <c r="Q55" s="103">
        <f>IFERROR(_xll.qlRateHelperEarliestDate(K55,Trigger),"--")</f>
        <v>42356</v>
      </c>
      <c r="R55" s="103">
        <f>IFERROR(_xll.qlRateHelperPillarDate(K55,Trigger),"--")</f>
        <v>53314</v>
      </c>
      <c r="T55" s="4" t="str">
        <f t="shared" si="1"/>
        <v/>
      </c>
      <c r="U55" s="4" t="e">
        <v>#N/A</v>
      </c>
      <c r="V55" s="4" t="str">
        <f>IFERROR(_xll.qlRateHelperQuoteName(U55,Trigger),"")</f>
        <v/>
      </c>
      <c r="W55" s="73" t="str">
        <f>IFERROR(_xll.qlRateHelperRate(U55,Trigger),"")</f>
        <v/>
      </c>
      <c r="X55" s="108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81" t="e">
        <v>#N/A</v>
      </c>
    </row>
    <row r="56" spans="1:27" ht="11.25" customHeight="1" x14ac:dyDescent="0.2">
      <c r="A56" s="62" t="s">
        <v>71</v>
      </c>
      <c r="B56" s="63" t="s">
        <v>66</v>
      </c>
      <c r="C56" s="64">
        <f t="shared" si="12"/>
        <v>2</v>
      </c>
      <c r="D56" s="129"/>
      <c r="E56" s="65" t="str">
        <f t="shared" si="4"/>
        <v>SekiborON</v>
      </c>
      <c r="F56" s="66" t="str">
        <f t="shared" si="11"/>
        <v>SEKOIS27Y_Quote</v>
      </c>
      <c r="G56" s="129"/>
      <c r="H56" s="67"/>
      <c r="J56" s="10" t="str">
        <f t="shared" si="5"/>
        <v>OIS</v>
      </c>
      <c r="K56" s="98" t="str">
        <f t="shared" si="6"/>
        <v>--</v>
      </c>
      <c r="L56" s="148" t="str">
        <f>IFERROR(_xll.qlRateHelperQuoteName(K56,Trigger),"--")</f>
        <v>--</v>
      </c>
      <c r="M56" s="102" t="str">
        <f>IFERROR(_xll.qlRateHelperQuoteValue($K56,Trigger),"--")</f>
        <v>--</v>
      </c>
      <c r="N56" s="101" t="b">
        <v>0</v>
      </c>
      <c r="O56" s="98">
        <v>50</v>
      </c>
      <c r="P56" s="98">
        <v>1</v>
      </c>
      <c r="Q56" s="103" t="str">
        <f>IFERROR(_xll.qlRateHelperEarliestDate(K56,Trigger),"--")</f>
        <v>--</v>
      </c>
      <c r="R56" s="103" t="str">
        <f>IFERROR(_xll.qlRateHelperPillarDate(K56,Trigger),"--")</f>
        <v>--</v>
      </c>
      <c r="T56" s="4" t="str">
        <f t="shared" si="1"/>
        <v/>
      </c>
      <c r="U56" s="4" t="e">
        <v>#N/A</v>
      </c>
      <c r="V56" s="4" t="str">
        <f>IFERROR(_xll.qlRateHelperQuoteName(U56,Trigger),"")</f>
        <v/>
      </c>
      <c r="W56" s="73" t="str">
        <f>IFERROR(_xll.qlRateHelperRate(U56,Trigger),"")</f>
        <v/>
      </c>
      <c r="X56" s="108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81" t="e">
        <v>#N/A</v>
      </c>
    </row>
    <row r="57" spans="1:27" ht="11.25" customHeight="1" x14ac:dyDescent="0.2">
      <c r="A57" s="62" t="s">
        <v>71</v>
      </c>
      <c r="B57" s="63" t="s">
        <v>67</v>
      </c>
      <c r="C57" s="64">
        <f t="shared" si="12"/>
        <v>2</v>
      </c>
      <c r="D57" s="129"/>
      <c r="E57" s="65" t="str">
        <f t="shared" si="4"/>
        <v>SekiborON</v>
      </c>
      <c r="F57" s="66" t="str">
        <f t="shared" si="11"/>
        <v>SEKOIS30Y_Quote</v>
      </c>
      <c r="G57" s="129"/>
      <c r="H57" s="67" t="str">
        <f>_xll.qlOISRateHelper(,C57,B57,F57,$E57,,Permanent,Trigger,ObjectOverwrite)</f>
        <v>obj_00137#0000</v>
      </c>
      <c r="J57" s="10" t="str">
        <f t="shared" si="5"/>
        <v>OIS</v>
      </c>
      <c r="K57" s="98" t="str">
        <f t="shared" si="6"/>
        <v>--</v>
      </c>
      <c r="L57" s="148" t="str">
        <f>IFERROR(_xll.qlRateHelperQuoteName(K57,Trigger),"--")</f>
        <v>--</v>
      </c>
      <c r="M57" s="102" t="str">
        <f>IFERROR(_xll.qlRateHelperQuoteValue($K57,Trigger),"--")</f>
        <v>--</v>
      </c>
      <c r="N57" s="101" t="b">
        <v>0</v>
      </c>
      <c r="O57" s="98">
        <v>50</v>
      </c>
      <c r="P57" s="98">
        <v>1</v>
      </c>
      <c r="Q57" s="103" t="str">
        <f>IFERROR(_xll.qlRateHelperEarliestDate(K57,Trigger),"--")</f>
        <v>--</v>
      </c>
      <c r="R57" s="103" t="str">
        <f>IFERROR(_xll.qlRateHelperPillarDate(K57,Trigger),"--")</f>
        <v>--</v>
      </c>
      <c r="T57" s="4" t="str">
        <f t="shared" si="1"/>
        <v/>
      </c>
      <c r="U57" s="4" t="e">
        <v>#N/A</v>
      </c>
      <c r="V57" s="4" t="str">
        <f>IFERROR(_xll.qlRateHelperQuoteName(U57,Trigger),"")</f>
        <v/>
      </c>
      <c r="W57" s="73" t="str">
        <f>IFERROR(_xll.qlRateHelperRate(U57,Trigger),"")</f>
        <v/>
      </c>
      <c r="X57" s="108" t="str">
        <f>IF(ISERROR(_xll.qlSwapRateHelperSpread($U57)),IF(ISERROR(_xll.qlFuturesRateHelperConvexityAdjustment($U57)),"",_xll.qlFuturesRateHelperConvexityAdjustment($U57)),_xll.qlSwapRateHelperSpread($U57))</f>
        <v/>
      </c>
      <c r="Y57" s="5" t="str">
        <f>IFERROR(_xll.qlRateHelperEarliestDate(U57,Trigger),"")</f>
        <v/>
      </c>
      <c r="Z57" s="5" t="str">
        <f>IFERROR(_xll.qlRateHelperPillarDate(U57,Trigger),"")</f>
        <v/>
      </c>
      <c r="AA57" s="81" t="e">
        <v>#N/A</v>
      </c>
    </row>
    <row r="58" spans="1:27" ht="11.25" customHeight="1" x14ac:dyDescent="0.2">
      <c r="A58" s="62" t="s">
        <v>71</v>
      </c>
      <c r="B58" s="63" t="s">
        <v>68</v>
      </c>
      <c r="C58" s="64">
        <f t="shared" si="12"/>
        <v>2</v>
      </c>
      <c r="D58" s="129"/>
      <c r="E58" s="65" t="str">
        <f t="shared" si="4"/>
        <v>SekiborON</v>
      </c>
      <c r="F58" s="66" t="str">
        <f t="shared" si="11"/>
        <v>SEKOIS35Y_Quote</v>
      </c>
      <c r="G58" s="129"/>
      <c r="H58" s="67"/>
      <c r="J58" s="10" t="str">
        <f t="shared" si="5"/>
        <v>OIS</v>
      </c>
      <c r="K58" s="98" t="str">
        <f t="shared" si="6"/>
        <v>--</v>
      </c>
      <c r="L58" s="148" t="str">
        <f>IFERROR(_xll.qlRateHelperQuoteName(K58,Trigger),"--")</f>
        <v>--</v>
      </c>
      <c r="M58" s="102" t="str">
        <f>IFERROR(_xll.qlRateHelperQuoteValue($K58,Trigger),"--")</f>
        <v>--</v>
      </c>
      <c r="N58" s="101" t="b">
        <v>0</v>
      </c>
      <c r="O58" s="98">
        <v>50</v>
      </c>
      <c r="P58" s="98">
        <v>1</v>
      </c>
      <c r="Q58" s="103" t="str">
        <f>IFERROR(_xll.qlRateHelperEarliestDate(K58,Trigger),"--")</f>
        <v>--</v>
      </c>
      <c r="R58" s="103" t="str">
        <f>IFERROR(_xll.qlRateHelperPillarDate(K58,Trigger),"--")</f>
        <v>--</v>
      </c>
      <c r="T58" s="4" t="str">
        <f t="shared" si="1"/>
        <v/>
      </c>
      <c r="U58" s="4" t="e">
        <v>#N/A</v>
      </c>
      <c r="V58" s="4" t="str">
        <f>IFERROR(_xll.qlRateHelperQuoteName(U58,Trigger),"")</f>
        <v/>
      </c>
      <c r="W58" s="73" t="str">
        <f>IFERROR(_xll.qlRateHelperRate(U58,Trigger),"")</f>
        <v/>
      </c>
      <c r="X58" s="108" t="str">
        <f>IF(ISERROR(_xll.qlSwapRateHelperSpread($U58)),IF(ISERROR(_xll.qlFuturesRateHelperConvexityAdjustment($U58)),"",_xll.qlFuturesRateHelperConvexityAdjustment($U58)),_xll.qlSwapRateHelperSpread($U58))</f>
        <v/>
      </c>
      <c r="Y58" s="5" t="str">
        <f>IFERROR(_xll.qlRateHelperEarliestDate(U58,Trigger),"")</f>
        <v/>
      </c>
      <c r="Z58" s="5" t="str">
        <f>IFERROR(_xll.qlRateHelperPillarDate(U58,Trigger),"")</f>
        <v/>
      </c>
      <c r="AA58" s="81" t="e">
        <v>#N/A</v>
      </c>
    </row>
    <row r="59" spans="1:27" ht="11.25" customHeight="1" x14ac:dyDescent="0.2">
      <c r="A59" s="62" t="s">
        <v>71</v>
      </c>
      <c r="B59" s="63" t="s">
        <v>69</v>
      </c>
      <c r="C59" s="64">
        <f t="shared" si="12"/>
        <v>2</v>
      </c>
      <c r="D59" s="129"/>
      <c r="E59" s="65" t="str">
        <f t="shared" si="4"/>
        <v>SekiborON</v>
      </c>
      <c r="F59" s="66" t="str">
        <f t="shared" si="11"/>
        <v>SEKOIS40Y_Quote</v>
      </c>
      <c r="G59" s="129"/>
      <c r="H59" s="67"/>
      <c r="J59" s="11" t="str">
        <f t="shared" si="5"/>
        <v>OIS</v>
      </c>
      <c r="K59" s="99" t="str">
        <f t="shared" si="6"/>
        <v>--</v>
      </c>
      <c r="L59" s="149" t="str">
        <f>IFERROR(_xll.qlRateHelperQuoteName(K59,Trigger),"--")</f>
        <v>--</v>
      </c>
      <c r="M59" s="105" t="str">
        <f>IFERROR(_xll.qlRateHelperQuoteValue($K59,Trigger),"--")</f>
        <v>--</v>
      </c>
      <c r="N59" s="104" t="b">
        <v>0</v>
      </c>
      <c r="O59" s="99">
        <v>50</v>
      </c>
      <c r="P59" s="99">
        <v>1</v>
      </c>
      <c r="Q59" s="106" t="str">
        <f>IFERROR(_xll.qlRateHelperEarliestDate(K59,Trigger),"--")</f>
        <v>--</v>
      </c>
      <c r="R59" s="106" t="str">
        <f>IFERROR(_xll.qlRateHelperPillarDate(K59,Trigger),"--")</f>
        <v>--</v>
      </c>
      <c r="T59" s="6" t="str">
        <f t="shared" si="1"/>
        <v/>
      </c>
      <c r="U59" s="6" t="e">
        <v>#N/A</v>
      </c>
      <c r="V59" s="6" t="str">
        <f>IFERROR(_xll.qlRateHelperQuoteName(U59,Trigger),"")</f>
        <v/>
      </c>
      <c r="W59" s="83" t="str">
        <f>IFERROR(_xll.qlRateHelperRate(U59,Trigger),"")</f>
        <v/>
      </c>
      <c r="X59" s="109" t="str">
        <f>IF(ISERROR(_xll.qlSwapRateHelperSpread($U59)),IF(ISERROR(_xll.qlFuturesRateHelperConvexityAdjustment($U59)),"",_xll.qlFuturesRateHelperConvexityAdjustment($U59)),_xll.qlSwapRateHelperSpread($U59))</f>
        <v/>
      </c>
      <c r="Y59" s="12" t="str">
        <f>IFERROR(_xll.qlRateHelperEarliestDate(U59,Trigger),"")</f>
        <v/>
      </c>
      <c r="Z59" s="12" t="str">
        <f>IFERROR(_xll.qlRateHelperPillarDate(U59,Trigger),"")</f>
        <v/>
      </c>
      <c r="AA59" s="82" t="e">
        <v>#N/A</v>
      </c>
    </row>
    <row r="60" spans="1:27" ht="11.25" customHeight="1" x14ac:dyDescent="0.2">
      <c r="A60" s="62" t="s">
        <v>71</v>
      </c>
      <c r="B60" s="63" t="s">
        <v>139</v>
      </c>
      <c r="C60" s="64">
        <f t="shared" si="12"/>
        <v>2</v>
      </c>
      <c r="D60" s="129"/>
      <c r="E60" s="65" t="str">
        <f t="shared" si="4"/>
        <v>SekiborON</v>
      </c>
      <c r="F60" s="66" t="str">
        <f t="shared" si="11"/>
        <v>SEKOIS45Y_Quote</v>
      </c>
      <c r="G60" s="129"/>
      <c r="H60" s="67"/>
    </row>
    <row r="61" spans="1:27" ht="11.25" customHeight="1" x14ac:dyDescent="0.2">
      <c r="A61" s="1" t="s">
        <v>71</v>
      </c>
      <c r="B61" s="8" t="s">
        <v>70</v>
      </c>
      <c r="C61" s="7">
        <f t="shared" si="12"/>
        <v>2</v>
      </c>
      <c r="D61" s="130"/>
      <c r="E61" s="9" t="str">
        <f t="shared" si="4"/>
        <v>SekiborON</v>
      </c>
      <c r="F61" s="2" t="str">
        <f t="shared" si="11"/>
        <v>SEKOIS50Y_Quote</v>
      </c>
      <c r="G61" s="130"/>
      <c r="H61" s="3"/>
    </row>
    <row r="62" spans="1:27" ht="11.25" customHeight="1" x14ac:dyDescent="0.2"/>
    <row r="63" spans="1:27" ht="11.25" customHeight="1" x14ac:dyDescent="0.2"/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1">
    <dataValidation type="list" allowBlank="1" showInputMessage="1" showErrorMessage="1" sqref="AH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7109375" style="55" hidden="1" customWidth="1" outlineLevel="1"/>
    <col min="9" max="9" width="16.710937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710937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9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"_SYNTH"&amp;$G$1</f>
        <v>_SYNTH3M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SEK3M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95</v>
      </c>
      <c r="D2" s="68" t="s">
        <v>114</v>
      </c>
      <c r="E2" s="68" t="s">
        <v>35</v>
      </c>
      <c r="F2" s="68" t="s">
        <v>101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82</v>
      </c>
      <c r="O2" s="77" t="s">
        <v>85</v>
      </c>
      <c r="P2" s="77" t="s">
        <v>83</v>
      </c>
      <c r="Q2" s="77" t="s">
        <v>84</v>
      </c>
      <c r="R2" s="77" t="s">
        <v>86</v>
      </c>
      <c r="S2" s="77" t="s">
        <v>23</v>
      </c>
      <c r="T2" s="77" t="s">
        <v>79</v>
      </c>
      <c r="U2" s="97"/>
      <c r="V2" s="77" t="s">
        <v>9</v>
      </c>
      <c r="W2" s="77" t="s">
        <v>25</v>
      </c>
      <c r="X2" s="77" t="s">
        <v>82</v>
      </c>
      <c r="Y2" s="79" t="s">
        <v>24</v>
      </c>
      <c r="Z2" s="79" t="s">
        <v>87</v>
      </c>
      <c r="AA2" s="77" t="s">
        <v>23</v>
      </c>
      <c r="AB2" s="77" t="s">
        <v>79</v>
      </c>
      <c r="AC2" s="80" t="e">
        <f t="array" ref="AC2:AC51">_xll.qlPiecewiseYieldCurveData(YieldCurve_3M,Trigger)</f>
        <v>#VALUE!</v>
      </c>
      <c r="AF2" s="191" t="s">
        <v>88</v>
      </c>
      <c r="AG2" s="192"/>
      <c r="AH2" s="192"/>
      <c r="AI2" s="192"/>
      <c r="AJ2" s="193"/>
    </row>
    <row r="3" spans="1:38" ht="11.25" customHeight="1" x14ac:dyDescent="0.2">
      <c r="A3" s="114" t="s">
        <v>27</v>
      </c>
      <c r="B3" s="115" t="s">
        <v>75</v>
      </c>
      <c r="C3" s="116" t="s">
        <v>76</v>
      </c>
      <c r="D3" s="116" t="b">
        <v>0</v>
      </c>
      <c r="E3" s="117" t="s">
        <v>115</v>
      </c>
      <c r="F3" s="116" t="s">
        <v>28</v>
      </c>
      <c r="G3" s="117" t="str">
        <f>_xll.qlIborIndex(,FamilyName,C3,2,Currency,Calendar,E3,D3,F3,,Permanent,Trigger,ObjectOverwrite)</f>
        <v>obj_00133#0000</v>
      </c>
      <c r="H3" s="125" t="str">
        <f t="shared" ref="H3:H9" si="0">Currency&amp;$B3&amp;"D"&amp;$H$1&amp;QuoteSuffix</f>
        <v>SEKSND_SYNTH3M_Quote</v>
      </c>
      <c r="I3" s="128"/>
      <c r="J3" s="118"/>
      <c r="K3" s="52"/>
      <c r="L3" s="71" t="str">
        <f>A3</f>
        <v>Dp</v>
      </c>
      <c r="M3" s="135" t="str">
        <f>IF(ISBLANK(J3),"--",J3)</f>
        <v>--</v>
      </c>
      <c r="N3" s="147" t="str">
        <f>IFERROR(_xll.qlRateHelperQuoteName(M3,Trigger),"--")</f>
        <v>--</v>
      </c>
      <c r="O3" s="137" t="str">
        <f>IFERROR(_xll.qlRateHelperQuoteValue($M3,Trigger),"--")</f>
        <v>--</v>
      </c>
      <c r="P3" s="136" t="b">
        <v>0</v>
      </c>
      <c r="Q3" s="135">
        <v>10</v>
      </c>
      <c r="R3" s="135">
        <v>1</v>
      </c>
      <c r="S3" s="138" t="str">
        <f>IFERROR(_xll.qlRateHelperEarliestDate(M3,Trigger),"--")</f>
        <v>--</v>
      </c>
      <c r="T3" s="138" t="str">
        <f>IFERROR(_xll.qlRateHelperPillarDate(M3,Trigger),"--")</f>
        <v>--</v>
      </c>
      <c r="V3" s="4" t="str">
        <f t="shared" ref="V3:V34" si="1">IFERROR(INDEX($L$3:$L$51,MATCH(X3,$N$3:$N$51,0),1),"")</f>
        <v/>
      </c>
      <c r="W3" s="4" t="e">
        <f t="array" ref="W3:W51">_xll.qlRateHelperSelection(_xll.ohFilter(RateHelpers,IncludeFlag),_xll.ohFilter(Priority,IncludeFlag),$AJ$3,$AJ$4,$AJ$5,$AJ$6,_xll.ohFilter(MinDistance,IncludeFlag),Trigger)</f>
        <v>#NUM!</v>
      </c>
      <c r="X3" s="4" t="str">
        <f>IFERROR(_xll.qlRateHelperQuoteName(W3,Trigger),"")</f>
        <v/>
      </c>
      <c r="Y3" s="73" t="str">
        <f>IFERROR(_xll.qlRateHelperRate(W3,Trigger),"")</f>
        <v/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 t="str">
        <f>IFERROR(_xll.qlRateHelperEarliestDate(W3,Trigger),"")</f>
        <v/>
      </c>
      <c r="AB3" s="5" t="str">
        <f>IFERROR(_xll.qlRateHelperPillarDate(W3,Trigger),"")</f>
        <v/>
      </c>
      <c r="AC3" s="81" t="e">
        <v>#VALUE!</v>
      </c>
      <c r="AD3" s="190"/>
      <c r="AF3" s="111" t="s">
        <v>89</v>
      </c>
      <c r="AJ3" s="112">
        <v>6</v>
      </c>
    </row>
    <row r="4" spans="1:38" ht="11.25" customHeight="1" x14ac:dyDescent="0.2">
      <c r="A4" s="56" t="s">
        <v>27</v>
      </c>
      <c r="B4" s="57" t="s">
        <v>94</v>
      </c>
      <c r="C4" s="59" t="s">
        <v>39</v>
      </c>
      <c r="D4" s="59" t="b">
        <v>0</v>
      </c>
      <c r="E4" s="58" t="s">
        <v>115</v>
      </c>
      <c r="F4" s="59" t="s">
        <v>28</v>
      </c>
      <c r="G4" s="58"/>
      <c r="H4" s="158" t="str">
        <f t="shared" si="0"/>
        <v>SEKSWD_SYNTH3M_Quote</v>
      </c>
      <c r="I4" s="133"/>
      <c r="J4" s="61"/>
      <c r="K4" s="51"/>
      <c r="L4" s="10" t="str">
        <f t="shared" ref="L4:L9" si="2">A4</f>
        <v>Dp</v>
      </c>
      <c r="M4" s="98" t="str">
        <f t="shared" ref="M4:M9" si="3">IF(ISBLANK(J4),"--",J4)</f>
        <v>--</v>
      </c>
      <c r="N4" s="148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si="1"/>
        <v/>
      </c>
      <c r="W4" s="4" t="e">
        <v>#NUM!</v>
      </c>
      <c r="X4" s="4" t="str">
        <f>IFERROR(_xll.qlRateHelperQuoteName(W4,Trigger),"")</f>
        <v/>
      </c>
      <c r="Y4" s="73" t="str">
        <f>IFERROR(_xll.qlRateHelperRate(W4,Trigger),"")</f>
        <v/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 t="str">
        <f>IFERROR(_xll.qlRateHelperEarliestDate(W4,Trigger),"")</f>
        <v/>
      </c>
      <c r="AB4" s="5" t="str">
        <f>IFERROR(_xll.qlRateHelperPillarDate(W4,Trigger),"")</f>
        <v/>
      </c>
      <c r="AC4" s="81" t="e">
        <v>#VALUE!</v>
      </c>
      <c r="AD4" s="190"/>
      <c r="AF4" s="111" t="s">
        <v>90</v>
      </c>
      <c r="AJ4" s="112">
        <v>0</v>
      </c>
    </row>
    <row r="5" spans="1:38" ht="11.25" customHeight="1" x14ac:dyDescent="0.2">
      <c r="A5" s="62" t="s">
        <v>27</v>
      </c>
      <c r="B5" s="63" t="s">
        <v>40</v>
      </c>
      <c r="C5" s="65" t="str">
        <f>B5</f>
        <v>2W</v>
      </c>
      <c r="D5" s="65" t="b">
        <v>0</v>
      </c>
      <c r="E5" s="64" t="s">
        <v>115</v>
      </c>
      <c r="F5" s="65" t="s">
        <v>28</v>
      </c>
      <c r="G5" s="64"/>
      <c r="H5" s="126" t="str">
        <f t="shared" si="0"/>
        <v>SEK2WD_SYNTH3M_Quote</v>
      </c>
      <c r="I5" s="129"/>
      <c r="J5" s="67"/>
      <c r="K5" s="51"/>
      <c r="L5" s="10" t="str">
        <f t="shared" si="2"/>
        <v>Dp</v>
      </c>
      <c r="M5" s="98" t="str">
        <f t="shared" si="3"/>
        <v>--</v>
      </c>
      <c r="N5" s="148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1"/>
        <v/>
      </c>
      <c r="W5" s="4" t="e">
        <v>#NUM!</v>
      </c>
      <c r="X5" s="4" t="str">
        <f>IFERROR(_xll.qlRateHelperQuoteName(W5,Trigger),"")</f>
        <v/>
      </c>
      <c r="Y5" s="73" t="str">
        <f>IFERROR(_xll.qlRateHelperRate(W5,Trigger),"")</f>
        <v/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 t="str">
        <f>IFERROR(_xll.qlRateHelperEarliestDate(W5,Trigger),"")</f>
        <v/>
      </c>
      <c r="AB5" s="5" t="str">
        <f>IFERROR(_xll.qlRateHelperPillarDate(W5,Trigger),"")</f>
        <v/>
      </c>
      <c r="AC5" s="81" t="e">
        <v>#VALUE!</v>
      </c>
      <c r="AD5" s="190"/>
      <c r="AE5" s="84"/>
      <c r="AF5" s="111" t="s">
        <v>91</v>
      </c>
      <c r="AJ5" s="112">
        <v>3</v>
      </c>
    </row>
    <row r="6" spans="1:38" ht="11.25" customHeight="1" x14ac:dyDescent="0.2">
      <c r="A6" s="183" t="s">
        <v>27</v>
      </c>
      <c r="B6" s="184" t="s">
        <v>41</v>
      </c>
      <c r="C6" s="185" t="str">
        <f t="shared" ref="C6:C9" si="4">B6</f>
        <v>3W</v>
      </c>
      <c r="D6" s="9" t="b">
        <v>0</v>
      </c>
      <c r="E6" s="7" t="s">
        <v>115</v>
      </c>
      <c r="F6" s="9" t="s">
        <v>28</v>
      </c>
      <c r="G6" s="187"/>
      <c r="H6" s="188" t="str">
        <f t="shared" si="0"/>
        <v>SEK3WD_SYNTH3M_Quote</v>
      </c>
      <c r="I6" s="186"/>
      <c r="J6" s="189"/>
      <c r="K6" s="51"/>
      <c r="L6" s="10" t="str">
        <f t="shared" si="2"/>
        <v>Dp</v>
      </c>
      <c r="M6" s="98" t="str">
        <f t="shared" si="3"/>
        <v>--</v>
      </c>
      <c r="N6" s="148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1"/>
        <v/>
      </c>
      <c r="W6" s="4" t="e">
        <v>#NUM!</v>
      </c>
      <c r="X6" s="4" t="str">
        <f>IFERROR(_xll.qlRateHelperQuoteName(W6,Trigger),"")</f>
        <v/>
      </c>
      <c r="Y6" s="73" t="str">
        <f>IFERROR(_xll.qlRateHelperRate(W6,Trigger),"")</f>
        <v/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 t="str">
        <f>IFERROR(_xll.qlRateHelperEarliestDate(W6,Trigger),"")</f>
        <v/>
      </c>
      <c r="AB6" s="5" t="str">
        <f>IFERROR(_xll.qlRateHelperPillarDate(W6,Trigger),"")</f>
        <v/>
      </c>
      <c r="AC6" s="81" t="e">
        <v>#VALUE!</v>
      </c>
      <c r="AD6" s="190"/>
      <c r="AF6" s="111" t="s">
        <v>92</v>
      </c>
      <c r="AJ6" s="113" t="s">
        <v>93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Sekibor1M</v>
      </c>
      <c r="H7" s="126" t="str">
        <f t="shared" si="0"/>
        <v>SEK1MD_SYNTH3M_Quote</v>
      </c>
      <c r="I7" s="129"/>
      <c r="J7" s="67" t="str">
        <f>_xll.qlDepositRateHelper(,H7,G7,Permanent,Trigger,ObjectOverwrite)</f>
        <v>obj_00157#0000</v>
      </c>
      <c r="K7" s="51"/>
      <c r="L7" s="10" t="str">
        <f t="shared" si="2"/>
        <v>Dp</v>
      </c>
      <c r="M7" s="98" t="str">
        <f t="shared" si="3"/>
        <v>obj_00157#0000</v>
      </c>
      <c r="N7" s="148" t="str">
        <f>IFERROR(_xll.qlRateHelperQuoteName(M7,Trigger),"--")</f>
        <v>SEK1MD_SYNTH3M_Quote</v>
      </c>
      <c r="O7" s="102" t="str">
        <f>IFERROR(_xll.qlRateHelperQuoteValue($M7,Trigger),"--")</f>
        <v>--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42356</v>
      </c>
      <c r="T7" s="103">
        <f>IFERROR(_xll.qlRateHelperPillarDate(M7,Trigger),"--")</f>
        <v>42387</v>
      </c>
      <c r="V7" s="4" t="str">
        <f t="shared" si="1"/>
        <v/>
      </c>
      <c r="W7" s="4" t="e">
        <v>#NUM!</v>
      </c>
      <c r="X7" s="4" t="str">
        <f>IFERROR(_xll.qlRateHelperQuoteName(W7,Trigger),"")</f>
        <v/>
      </c>
      <c r="Y7" s="73" t="str">
        <f>IFERROR(_xll.qlRateHelperRate(W7,Trigger),"")</f>
        <v/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 t="str">
        <f>IFERROR(_xll.qlRateHelperEarliestDate(W7,Trigger),"")</f>
        <v/>
      </c>
      <c r="AB7" s="5" t="str">
        <f>IFERROR(_xll.qlRateHelperPillarDate(W7,Trigger),"")</f>
        <v/>
      </c>
      <c r="AC7" s="81" t="e">
        <v>#VALUE!</v>
      </c>
      <c r="AD7" s="190"/>
    </row>
    <row r="8" spans="1:38" ht="11.25" customHeight="1" x14ac:dyDescent="0.2">
      <c r="A8" s="62" t="s">
        <v>27</v>
      </c>
      <c r="B8" s="63" t="s">
        <v>42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Sekibor2M</v>
      </c>
      <c r="H8" s="126" t="str">
        <f t="shared" si="0"/>
        <v>SEK2MD_SYNTH3M_Quote</v>
      </c>
      <c r="I8" s="129"/>
      <c r="J8" s="67" t="str">
        <f>_xll.qlDepositRateHelper(,H8,G8,Permanent,Trigger,ObjectOverwrite)</f>
        <v>obj_00154#0000</v>
      </c>
      <c r="K8" s="51"/>
      <c r="L8" s="10" t="str">
        <f t="shared" si="2"/>
        <v>Dp</v>
      </c>
      <c r="M8" s="98" t="str">
        <f t="shared" si="3"/>
        <v>obj_00154#0000</v>
      </c>
      <c r="N8" s="148" t="str">
        <f>IFERROR(_xll.qlRateHelperQuoteName(M8,Trigger),"--")</f>
        <v>SEK2MD_SYNTH3M_Quote</v>
      </c>
      <c r="O8" s="102" t="str">
        <f>IFERROR(_xll.qlRateHelperQuoteValue($M8,Trigger),"--")</f>
        <v>--</v>
      </c>
      <c r="P8" s="101" t="b">
        <v>1</v>
      </c>
      <c r="Q8" s="98">
        <v>10</v>
      </c>
      <c r="R8" s="98">
        <v>1</v>
      </c>
      <c r="S8" s="103">
        <f>IFERROR(_xll.qlRateHelperEarliestDate(M8,Trigger),"--")</f>
        <v>42356</v>
      </c>
      <c r="T8" s="103">
        <f>IFERROR(_xll.qlRateHelperPillarDate(M8,Trigger),"--")</f>
        <v>42418</v>
      </c>
      <c r="V8" s="4" t="str">
        <f t="shared" si="1"/>
        <v/>
      </c>
      <c r="W8" s="4" t="e">
        <v>#NUM!</v>
      </c>
      <c r="X8" s="4" t="str">
        <f>IFERROR(_xll.qlRateHelperQuoteName(W8,Trigger),"")</f>
        <v/>
      </c>
      <c r="Y8" s="73" t="str">
        <f>IFERROR(_xll.qlRateHelperRate(W8,Trigger),"")</f>
        <v/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 t="str">
        <f>IFERROR(_xll.qlRateHelperEarliestDate(W8,Trigger),"")</f>
        <v/>
      </c>
      <c r="AB8" s="5" t="str">
        <f>IFERROR(_xll.qlRateHelperPillarDate(W8,Trigger),"")</f>
        <v/>
      </c>
      <c r="AC8" s="81" t="e">
        <v>#VALUE!</v>
      </c>
      <c r="AD8" s="190"/>
    </row>
    <row r="9" spans="1:38" ht="11.25" customHeight="1" x14ac:dyDescent="0.2">
      <c r="A9" s="1" t="s">
        <v>27</v>
      </c>
      <c r="B9" s="8" t="s">
        <v>0</v>
      </c>
      <c r="C9" s="9" t="str">
        <f t="shared" si="4"/>
        <v>3M</v>
      </c>
      <c r="D9" s="130"/>
      <c r="E9" s="130"/>
      <c r="F9" s="130"/>
      <c r="G9" s="7" t="str">
        <f>PROPER(Currency)&amp;FamilyName&amp;B9</f>
        <v>Sekibor3M</v>
      </c>
      <c r="H9" s="127" t="str">
        <f t="shared" si="0"/>
        <v>SEK3MD_SYNTH3M_Quote</v>
      </c>
      <c r="I9" s="130"/>
      <c r="J9" s="3" t="str">
        <f>_xll.qlDepositRateHelper(,H9,G9,Permanent,Trigger,ObjectOverwrite)</f>
        <v>obj_00158#0000</v>
      </c>
      <c r="K9" s="51"/>
      <c r="L9" s="11" t="str">
        <f t="shared" si="2"/>
        <v>Dp</v>
      </c>
      <c r="M9" s="99" t="str">
        <f t="shared" si="3"/>
        <v>obj_00158#0000</v>
      </c>
      <c r="N9" s="149" t="str">
        <f>IFERROR(_xll.qlRateHelperQuoteName(M9,Trigger),"--")</f>
        <v>SEK3MD_SYNTH3M_Quote</v>
      </c>
      <c r="O9" s="105" t="str">
        <f>IFERROR(_xll.qlRateHelperQuoteValue($M9,Trigger),"--")</f>
        <v>--</v>
      </c>
      <c r="P9" s="104" t="b">
        <v>1</v>
      </c>
      <c r="Q9" s="99">
        <v>10</v>
      </c>
      <c r="R9" s="99">
        <v>1</v>
      </c>
      <c r="S9" s="106">
        <f>IFERROR(_xll.qlRateHelperEarliestDate(M9,Trigger),"--")</f>
        <v>42356</v>
      </c>
      <c r="T9" s="106">
        <f>IFERROR(_xll.qlRateHelperPillarDate(M9,Trigger),"--")</f>
        <v>42447</v>
      </c>
      <c r="V9" s="4" t="str">
        <f t="shared" si="1"/>
        <v/>
      </c>
      <c r="W9" s="4" t="e">
        <v>#NUM!</v>
      </c>
      <c r="X9" s="4" t="str">
        <f>IFERROR(_xll.qlRateHelperQuoteName(W9,Trigger),"")</f>
        <v/>
      </c>
      <c r="Y9" s="73" t="str">
        <f>IFERROR(_xll.qlRateHelperRate(W9,Trigger),"")</f>
        <v/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 t="str">
        <f>IFERROR(_xll.qlRateHelperEarliestDate(W9,Trigger),"")</f>
        <v/>
      </c>
      <c r="AB9" s="5" t="str">
        <f>IFERROR(_xll.qlRateHelperPillarDate(W9,Trigger),"")</f>
        <v/>
      </c>
      <c r="AC9" s="81" t="e">
        <v>#VALUE!</v>
      </c>
      <c r="AD9" s="190"/>
      <c r="AG9" s="49" t="s">
        <v>111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 t="s">
        <v>96</v>
      </c>
      <c r="K10" s="51"/>
      <c r="L10" s="71" t="str">
        <f t="shared" ref="L10:L24" si="5">A12</f>
        <v>IMMFRA</v>
      </c>
      <c r="M10" s="135" t="e">
        <f t="shared" ref="M10:M24" si="6">IF(ISBLANK(J12),"--",J12)</f>
        <v>#NUM!</v>
      </c>
      <c r="N10" s="147" t="str">
        <f>IFERROR(_xll.qlRateHelperQuoteName(M10,Trigger),"--")</f>
        <v>--</v>
      </c>
      <c r="O10" s="152" t="str">
        <f>IFERROR(_xll.qlRateHelperQuoteValue($M10,Trigger),"--")</f>
        <v>--</v>
      </c>
      <c r="P10" s="136" t="b">
        <v>1</v>
      </c>
      <c r="Q10" s="135">
        <v>60</v>
      </c>
      <c r="R10" s="135">
        <v>3</v>
      </c>
      <c r="S10" s="138" t="str">
        <f>IFERROR(_xll.qlRateHelperEarliestDate(M10,Trigger),"--")</f>
        <v>--</v>
      </c>
      <c r="T10" s="138" t="str">
        <f>IFERROR(_xll.qlRateHelperPillarDate(M10,Trigger),"--")</f>
        <v>--</v>
      </c>
      <c r="V10" s="4" t="str">
        <f t="shared" si="1"/>
        <v/>
      </c>
      <c r="W10" s="4" t="e">
        <v>#NUM!</v>
      </c>
      <c r="X10" s="4" t="str">
        <f>IFERROR(_xll.qlRateHelperQuoteName(W10,Trigger),"")</f>
        <v/>
      </c>
      <c r="Y10" s="73" t="str">
        <f>IFERROR(_xll.qlRateHelperRate(W10,Trigger),"")</f>
        <v/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 t="str">
        <f>IFERROR(_xll.qlRateHelperEarliestDate(W10,Trigger),"")</f>
        <v/>
      </c>
      <c r="AB10" s="5" t="str">
        <f>IFERROR(_xll.qlRateHelperPillarDate(W10,Trigger),"")</f>
        <v/>
      </c>
      <c r="AC10" s="81" t="e">
        <v>#VALUE!</v>
      </c>
      <c r="AD10" s="190"/>
      <c r="AE10" s="77" t="s">
        <v>105</v>
      </c>
      <c r="AF10" s="77" t="s">
        <v>106</v>
      </c>
      <c r="AG10" s="77" t="s">
        <v>107</v>
      </c>
      <c r="AH10" s="77" t="s">
        <v>118</v>
      </c>
      <c r="AI10" s="77" t="s">
        <v>108</v>
      </c>
      <c r="AJ10" s="77" t="s">
        <v>119</v>
      </c>
      <c r="AK10" s="77" t="s">
        <v>109</v>
      </c>
      <c r="AL10" s="77" t="s">
        <v>110</v>
      </c>
    </row>
    <row r="11" spans="1:38" ht="11.25" customHeight="1" x14ac:dyDescent="0.2">
      <c r="A11" s="68" t="s">
        <v>9</v>
      </c>
      <c r="B11" s="68" t="s">
        <v>98</v>
      </c>
      <c r="C11" s="68" t="s">
        <v>34</v>
      </c>
      <c r="D11" s="68"/>
      <c r="E11" s="68"/>
      <c r="F11" s="68"/>
      <c r="G11" s="68" t="s">
        <v>4</v>
      </c>
      <c r="H11" s="68" t="s">
        <v>1</v>
      </c>
      <c r="I11" s="68" t="s">
        <v>97</v>
      </c>
      <c r="J11" s="68" t="s">
        <v>25</v>
      </c>
      <c r="K11" s="51"/>
      <c r="L11" s="10" t="str">
        <f t="shared" si="5"/>
        <v>IMMFRA</v>
      </c>
      <c r="M11" s="98" t="e">
        <f t="shared" si="6"/>
        <v>#NUM!</v>
      </c>
      <c r="N11" s="148" t="str">
        <f>IFERROR(_xll.qlRateHelperQuoteName(M11,Trigger),"--")</f>
        <v>--</v>
      </c>
      <c r="O11" s="153" t="str">
        <f>IFERROR(_xll.qlRateHelperQuoteValue($M11,Trigger),"--")</f>
        <v>--</v>
      </c>
      <c r="P11" s="101" t="b">
        <v>1</v>
      </c>
      <c r="Q11" s="98">
        <v>60</v>
      </c>
      <c r="R11" s="98">
        <v>3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1"/>
        <v/>
      </c>
      <c r="W11" s="4" t="e">
        <v>#NUM!</v>
      </c>
      <c r="X11" s="4" t="str">
        <f>IFERROR(_xll.qlRateHelperQuoteName(W11,Trigger),"")</f>
        <v/>
      </c>
      <c r="Y11" s="73" t="str">
        <f>IFERROR(_xll.qlRateHelperRate(W11,Trigger),"")</f>
        <v/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 t="str">
        <f>IFERROR(_xll.qlRateHelperEarliestDate(W11,Trigger),"")</f>
        <v/>
      </c>
      <c r="AB11" s="5" t="str">
        <f>IFERROR(_xll.qlRateHelperPillarDate(W11,Trigger),"")</f>
        <v/>
      </c>
      <c r="AC11" s="81" t="e">
        <v>#VALUE!</v>
      </c>
      <c r="AD11" s="190"/>
      <c r="AE11" s="161">
        <v>1</v>
      </c>
      <c r="AF11" s="162">
        <f>_xll.qlCalendarEndOfMonth(Calendar,Settlementdate,Trigger)</f>
        <v>42368</v>
      </c>
      <c r="AG11" s="161" t="str">
        <f t="shared" ref="AG11:AG23" si="7">Currency&amp;$AG$9&amp;AE11&amp;JumpSuffix&amp;QuoteSuffix</f>
        <v>SEKJump1_SYNTHON_Quote</v>
      </c>
      <c r="AH11" s="194">
        <f>_xll.qlDayCounterYearFraction("actual/360",AF11,_xll.qlCalendarAdvance(Calendar,AF11,"1D",,,Trigger))</f>
        <v>1.3888888888888888E-2</v>
      </c>
      <c r="AI11" s="163" t="e">
        <f>IF(_xll.qlQuoteIsValid(AG11,Trigger),_xll.qlQuoteValue(AG11,Trigger),1)</f>
        <v>#NUM!</v>
      </c>
      <c r="AJ11" s="197" t="e">
        <f>-LN(AI11)/AH11</f>
        <v>#NUM!</v>
      </c>
      <c r="AK11" s="202">
        <v>0</v>
      </c>
      <c r="AL11" s="163">
        <f>IF(ISBLANK(AK11),AG11,EXP(-AK11*AH11))</f>
        <v>1</v>
      </c>
    </row>
    <row r="12" spans="1:38" ht="11.25" customHeight="1" x14ac:dyDescent="0.2">
      <c r="A12" s="56" t="s">
        <v>147</v>
      </c>
      <c r="B12" s="119" t="b">
        <v>1</v>
      </c>
      <c r="C12" s="59" t="str">
        <f>_xll.qlIMMNextCode(Evaluationdate-1,B12,Trigger)</f>
        <v>Z5</v>
      </c>
      <c r="D12" s="58">
        <v>1</v>
      </c>
      <c r="E12" s="133"/>
      <c r="F12" s="133"/>
      <c r="G12" s="58" t="str">
        <f t="shared" ref="G12:G26" si="8">PROPER(Currency)&amp;FamilyName&amp;Tenor</f>
        <v>Sekibor3M</v>
      </c>
      <c r="H12" s="122" t="str">
        <f t="shared" ref="H12:H26" si="9">"FUT"&amp;Currency&amp;SUBSTITUTE($G$1,"M","F")&amp;D12&amp;QuoteSuffix</f>
        <v>FUTSEK3F1_Quote</v>
      </c>
      <c r="I12" s="131">
        <v>0</v>
      </c>
      <c r="J12" s="61" t="e">
        <f>_xll.qlFuturesRateHelper(,H12,$H$10,C12,G12,I12,Permanent,Trigger,ObjectOverwrite)</f>
        <v>#NUM!</v>
      </c>
      <c r="K12" s="51" t="s">
        <v>37</v>
      </c>
      <c r="L12" s="10" t="str">
        <f t="shared" si="5"/>
        <v>IMMFRA</v>
      </c>
      <c r="M12" s="98" t="e">
        <f t="shared" si="6"/>
        <v>#NUM!</v>
      </c>
      <c r="N12" s="148" t="str">
        <f>IFERROR(_xll.qlRateHelperQuoteName(M12,Trigger),"--")</f>
        <v>--</v>
      </c>
      <c r="O12" s="153" t="str">
        <f>IFERROR(_xll.qlRateHelperQuoteValue($M12,Trigger),"--")</f>
        <v>--</v>
      </c>
      <c r="P12" s="101" t="b">
        <v>1</v>
      </c>
      <c r="Q12" s="98">
        <v>60</v>
      </c>
      <c r="R12" s="98">
        <v>3</v>
      </c>
      <c r="S12" s="103" t="str">
        <f>IFERROR(_xll.qlRateHelperEarliestDate(M12,Trigger),"--")</f>
        <v>--</v>
      </c>
      <c r="T12" s="103" t="str">
        <f>IFERROR(_xll.qlRateHelperPillarDate(M12,Trigger),"--")</f>
        <v>--</v>
      </c>
      <c r="V12" s="4" t="str">
        <f t="shared" si="1"/>
        <v/>
      </c>
      <c r="W12" s="4" t="e">
        <v>#NUM!</v>
      </c>
      <c r="X12" s="4" t="str">
        <f>IFERROR(_xll.qlRateHelperQuoteName(W12,Trigger),"")</f>
        <v/>
      </c>
      <c r="Y12" s="73" t="str">
        <f>IFERROR(_xll.qlRateHelperRate(W12,Trigger),"")</f>
        <v/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 t="str">
        <f>IFERROR(_xll.qlRateHelperEarliestDate(W12,Trigger),"")</f>
        <v/>
      </c>
      <c r="AB12" s="5" t="str">
        <f>IFERROR(_xll.qlRateHelperPillarDate(W12,Trigger),"")</f>
        <v/>
      </c>
      <c r="AC12" s="81" t="e">
        <v>#VALUE!</v>
      </c>
      <c r="AD12" s="190"/>
      <c r="AE12" s="164">
        <v>2</v>
      </c>
      <c r="AF12" s="165">
        <f>_xll.qlCalendarEndOfMonth(Calendar,_xll.qlCalendarAdvance(Calendar,AF11,"1m","mf",TRUE),Trigger)</f>
        <v>42398</v>
      </c>
      <c r="AG12" s="164" t="str">
        <f t="shared" si="7"/>
        <v>SEKJump2_SYNTHON_Quote</v>
      </c>
      <c r="AH12" s="195">
        <f>_xll.qlDayCounterYearFraction("actual/360",AF12,_xll.qlCalendarAdvance(Calendar,AF12,"1D",,,Trigger))</f>
        <v>8.3333333333333332E-3</v>
      </c>
      <c r="AI12" s="166" t="e">
        <f>IF(_xll.qlQuoteIsValid(AG12,Trigger),_xll.qlQuoteValue(AG12,Trigger),1)</f>
        <v>#NUM!</v>
      </c>
      <c r="AJ12" s="198" t="e">
        <f t="shared" ref="AJ12:AJ23" si="10">-LN(AI12)/AH12</f>
        <v>#NUM!</v>
      </c>
      <c r="AK12" s="203">
        <v>0</v>
      </c>
      <c r="AL12" s="166">
        <f t="shared" ref="AL12:AL23" si="11">IF(ISBLANK(AK12),AG12,EXP(-AK12*AH12))</f>
        <v>1</v>
      </c>
    </row>
    <row r="13" spans="1:38" ht="11.25" customHeight="1" x14ac:dyDescent="0.2">
      <c r="A13" s="62" t="s">
        <v>147</v>
      </c>
      <c r="B13" s="120" t="b">
        <v>1</v>
      </c>
      <c r="C13" s="65" t="str">
        <f>_xll.qlIMMNextCode(C12,B13,Trigger)</f>
        <v>H6</v>
      </c>
      <c r="D13" s="64">
        <v>2</v>
      </c>
      <c r="E13" s="129"/>
      <c r="F13" s="129"/>
      <c r="G13" s="64" t="str">
        <f t="shared" si="8"/>
        <v>Sekibor3M</v>
      </c>
      <c r="H13" s="123" t="str">
        <f t="shared" si="9"/>
        <v>FUTSEK3F2_Quote</v>
      </c>
      <c r="I13" s="132">
        <v>0</v>
      </c>
      <c r="J13" s="67" t="e">
        <f>_xll.qlFuturesRateHelper(,H13,$H$10,C13,G13,I13,Permanent,Trigger,ObjectOverwrite)</f>
        <v>#NUM!</v>
      </c>
      <c r="K13" s="51"/>
      <c r="L13" s="10" t="str">
        <f t="shared" si="5"/>
        <v>IMMFRA</v>
      </c>
      <c r="M13" s="98" t="e">
        <f t="shared" si="6"/>
        <v>#NUM!</v>
      </c>
      <c r="N13" s="148" t="str">
        <f>IFERROR(_xll.qlRateHelperQuoteName(M13,Trigger),"--")</f>
        <v>--</v>
      </c>
      <c r="O13" s="153" t="str">
        <f>IFERROR(_xll.qlRateHelperQuoteValue($M13,Trigger),"--")</f>
        <v>--</v>
      </c>
      <c r="P13" s="101" t="b">
        <v>1</v>
      </c>
      <c r="Q13" s="98">
        <v>60</v>
      </c>
      <c r="R13" s="98">
        <v>21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1"/>
        <v/>
      </c>
      <c r="W13" s="4" t="e">
        <v>#NUM!</v>
      </c>
      <c r="X13" s="4" t="str">
        <f>IFERROR(_xll.qlRateHelperQuoteName(W13,Trigger),"")</f>
        <v/>
      </c>
      <c r="Y13" s="73" t="str">
        <f>IFERROR(_xll.qlRateHelperRate(W13,Trigger),"")</f>
        <v/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 t="str">
        <f>IFERROR(_xll.qlRateHelperEarliestDate(W13,Trigger),"")</f>
        <v/>
      </c>
      <c r="AB13" s="5" t="str">
        <f>IFERROR(_xll.qlRateHelperPillarDate(W13,Trigger),"")</f>
        <v/>
      </c>
      <c r="AC13" s="81" t="e">
        <v>#VALUE!</v>
      </c>
      <c r="AD13" s="190"/>
      <c r="AE13" s="164">
        <v>3</v>
      </c>
      <c r="AF13" s="165">
        <f>_xll.qlCalendarEndOfMonth(Calendar,_xll.qlCalendarAdvance(Calendar,AF12,"1m","mf",TRUE),Trigger)</f>
        <v>42429</v>
      </c>
      <c r="AG13" s="164" t="str">
        <f t="shared" si="7"/>
        <v>SEKJump3_SYNTHON_Quote</v>
      </c>
      <c r="AH13" s="195">
        <f>_xll.qlDayCounterYearFraction("actual/360",AF13,_xll.qlCalendarAdvance(Calendar,AF13,"1D",,,Trigger))</f>
        <v>2.7777777777777779E-3</v>
      </c>
      <c r="AI13" s="166" t="e">
        <f>IF(_xll.qlQuoteIsValid(AG13,Trigger),_xll.qlQuoteValue(AG13,Trigger),1)</f>
        <v>#NUM!</v>
      </c>
      <c r="AJ13" s="198" t="e">
        <f t="shared" si="10"/>
        <v>#NUM!</v>
      </c>
      <c r="AK13" s="203">
        <v>0</v>
      </c>
      <c r="AL13" s="166">
        <f t="shared" si="11"/>
        <v>1</v>
      </c>
    </row>
    <row r="14" spans="1:38" ht="11.25" customHeight="1" x14ac:dyDescent="0.2">
      <c r="A14" s="62" t="s">
        <v>147</v>
      </c>
      <c r="B14" s="120" t="b">
        <v>1</v>
      </c>
      <c r="C14" s="65" t="str">
        <f>_xll.qlIMMNextCode(C13,B14,Trigger)</f>
        <v>M6</v>
      </c>
      <c r="D14" s="64">
        <v>3</v>
      </c>
      <c r="E14" s="129"/>
      <c r="F14" s="129"/>
      <c r="G14" s="64" t="str">
        <f t="shared" si="8"/>
        <v>Sekibor3M</v>
      </c>
      <c r="H14" s="123" t="str">
        <f t="shared" si="9"/>
        <v>FUTSEK3F3_Quote</v>
      </c>
      <c r="I14" s="132">
        <v>0</v>
      </c>
      <c r="J14" s="67" t="e">
        <f>_xll.qlFuturesRateHelper(,H14,$H$10,C14,G14,I14,Permanent,Trigger,ObjectOverwrite)</f>
        <v>#NUM!</v>
      </c>
      <c r="K14" s="51"/>
      <c r="L14" s="10" t="str">
        <f t="shared" si="5"/>
        <v>IMMFRA</v>
      </c>
      <c r="M14" s="98" t="e">
        <f t="shared" si="6"/>
        <v>#NUM!</v>
      </c>
      <c r="N14" s="148" t="str">
        <f>IFERROR(_xll.qlRateHelperQuoteName(M14,Trigger),"--")</f>
        <v>--</v>
      </c>
      <c r="O14" s="153" t="str">
        <f>IFERROR(_xll.qlRateHelperQuoteValue($M14,Trigger),"--")</f>
        <v>--</v>
      </c>
      <c r="P14" s="101" t="b">
        <v>1</v>
      </c>
      <c r="Q14" s="98">
        <v>60</v>
      </c>
      <c r="R14" s="98">
        <v>21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1"/>
        <v/>
      </c>
      <c r="W14" s="4" t="e">
        <v>#NUM!</v>
      </c>
      <c r="X14" s="4" t="str">
        <f>IFERROR(_xll.qlRateHelperQuoteName(W14,Trigger),"")</f>
        <v/>
      </c>
      <c r="Y14" s="73" t="str">
        <f>IFERROR(_xll.qlRateHelperRate(W14,Trigger),"")</f>
        <v/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 t="str">
        <f>IFERROR(_xll.qlRateHelperEarliestDate(W14,Trigger),"")</f>
        <v/>
      </c>
      <c r="AB14" s="5" t="str">
        <f>IFERROR(_xll.qlRateHelperPillarDate(W14,Trigger),"")</f>
        <v/>
      </c>
      <c r="AC14" s="81" t="e">
        <v>#VALUE!</v>
      </c>
      <c r="AD14" s="190"/>
      <c r="AE14" s="164">
        <v>4</v>
      </c>
      <c r="AF14" s="165">
        <f>_xll.qlCalendarEndOfMonth(Calendar,_xll.qlCalendarAdvance(Calendar,AF13,"1m","mf",TRUE),Trigger)</f>
        <v>42460</v>
      </c>
      <c r="AG14" s="164" t="str">
        <f t="shared" si="7"/>
        <v>SEKJump4_SYNTHON_Quote</v>
      </c>
      <c r="AH14" s="195">
        <f>_xll.qlDayCounterYearFraction("actual/360",AF14,_xll.qlCalendarAdvance(Calendar,AF14,"1D",,,Trigger))</f>
        <v>2.7777777777777779E-3</v>
      </c>
      <c r="AI14" s="166" t="e">
        <f>IF(_xll.qlQuoteIsValid(AG14,Trigger),_xll.qlQuoteValue(AG14,Trigger),1)</f>
        <v>#NUM!</v>
      </c>
      <c r="AJ14" s="198" t="e">
        <f t="shared" si="10"/>
        <v>#NUM!</v>
      </c>
      <c r="AK14" s="203">
        <v>0</v>
      </c>
      <c r="AL14" s="166">
        <f t="shared" si="11"/>
        <v>1</v>
      </c>
    </row>
    <row r="15" spans="1:38" ht="11.25" customHeight="1" x14ac:dyDescent="0.2">
      <c r="A15" s="62" t="s">
        <v>147</v>
      </c>
      <c r="B15" s="120" t="b">
        <v>1</v>
      </c>
      <c r="C15" s="65" t="str">
        <f>_xll.qlIMMNextCode(C14,B15,Trigger)</f>
        <v>U6</v>
      </c>
      <c r="D15" s="64">
        <v>4</v>
      </c>
      <c r="E15" s="129"/>
      <c r="F15" s="129"/>
      <c r="G15" s="64" t="str">
        <f t="shared" si="8"/>
        <v>Sekibor3M</v>
      </c>
      <c r="H15" s="123" t="str">
        <f t="shared" si="9"/>
        <v>FUTSEK3F4_Quote</v>
      </c>
      <c r="I15" s="132">
        <v>0</v>
      </c>
      <c r="J15" s="67" t="e">
        <f>_xll.qlFuturesRateHelper(,H15,$H$10,C15,G15,I15,Permanent,Trigger,ObjectOverwrite)</f>
        <v>#NUM!</v>
      </c>
      <c r="K15" s="51"/>
      <c r="L15" s="10" t="str">
        <f t="shared" si="5"/>
        <v>IMMFRA</v>
      </c>
      <c r="M15" s="98" t="e">
        <f t="shared" si="6"/>
        <v>#NUM!</v>
      </c>
      <c r="N15" s="148" t="str">
        <f>IFERROR(_xll.qlRateHelperQuoteName(M15,Trigger),"--")</f>
        <v>--</v>
      </c>
      <c r="O15" s="153" t="str">
        <f>IFERROR(_xll.qlRateHelperQuoteValue($M15,Trigger),"--")</f>
        <v>--</v>
      </c>
      <c r="P15" s="101" t="b">
        <v>1</v>
      </c>
      <c r="Q15" s="98">
        <v>60</v>
      </c>
      <c r="R15" s="98">
        <v>21</v>
      </c>
      <c r="S15" s="103" t="str">
        <f>IFERROR(_xll.qlRateHelperEarliestDate(M15,Trigger),"--")</f>
        <v>--</v>
      </c>
      <c r="T15" s="103" t="str">
        <f>IFERROR(_xll.qlRateHelperPillarDate(M15,Trigger),"--")</f>
        <v>--</v>
      </c>
      <c r="V15" s="4" t="str">
        <f t="shared" si="1"/>
        <v/>
      </c>
      <c r="W15" s="4" t="e">
        <v>#NUM!</v>
      </c>
      <c r="X15" s="4" t="str">
        <f>IFERROR(_xll.qlRateHelperQuoteName(W15,Trigger),"")</f>
        <v/>
      </c>
      <c r="Y15" s="73" t="str">
        <f>IFERROR(_xll.qlRateHelperRate(W15,Trigger),"")</f>
        <v/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 t="str">
        <f>IFERROR(_xll.qlRateHelperEarliestDate(W15,Trigger),"")</f>
        <v/>
      </c>
      <c r="AB15" s="5" t="str">
        <f>IFERROR(_xll.qlRateHelperPillarDate(W15,Trigger),"")</f>
        <v/>
      </c>
      <c r="AC15" s="81" t="e">
        <v>#VALUE!</v>
      </c>
      <c r="AD15" s="190"/>
      <c r="AE15" s="164">
        <v>5</v>
      </c>
      <c r="AF15" s="165">
        <f>_xll.qlCalendarEndOfMonth(Calendar,_xll.qlCalendarAdvance(Calendar,AF14,"1m","mf",TRUE),Trigger)</f>
        <v>42489</v>
      </c>
      <c r="AG15" s="164" t="str">
        <f t="shared" si="7"/>
        <v>SEKJump5_SYNTHON_Quote</v>
      </c>
      <c r="AH15" s="195">
        <f>_xll.qlDayCounterYearFraction("actual/360",AF15,_xll.qlCalendarAdvance(Calendar,AF15,"1D",,,Trigger))</f>
        <v>8.3333333333333332E-3</v>
      </c>
      <c r="AI15" s="166" t="e">
        <f>IF(_xll.qlQuoteIsValid(AG15,Trigger),_xll.qlQuoteValue(AG15,Trigger),1)</f>
        <v>#NUM!</v>
      </c>
      <c r="AJ15" s="198" t="e">
        <f t="shared" si="10"/>
        <v>#NUM!</v>
      </c>
      <c r="AK15" s="203">
        <v>0</v>
      </c>
      <c r="AL15" s="166">
        <f t="shared" si="11"/>
        <v>1</v>
      </c>
    </row>
    <row r="16" spans="1:38" ht="11.25" customHeight="1" x14ac:dyDescent="0.2">
      <c r="A16" s="62" t="s">
        <v>147</v>
      </c>
      <c r="B16" s="120" t="b">
        <v>1</v>
      </c>
      <c r="C16" s="65" t="str">
        <f>_xll.qlIMMNextCode(C15,B16,Trigger)</f>
        <v>Z6</v>
      </c>
      <c r="D16" s="64">
        <v>5</v>
      </c>
      <c r="E16" s="129"/>
      <c r="F16" s="129"/>
      <c r="G16" s="64" t="str">
        <f t="shared" si="8"/>
        <v>Sekibor3M</v>
      </c>
      <c r="H16" s="123" t="str">
        <f t="shared" si="9"/>
        <v>FUTSEK3F5_Quote</v>
      </c>
      <c r="I16" s="132">
        <v>0</v>
      </c>
      <c r="J16" s="67" t="e">
        <f>_xll.qlFuturesRateHelper(,H16,$H$10,C16,G16,I16,Permanent,Trigger,ObjectOverwrite)</f>
        <v>#NUM!</v>
      </c>
      <c r="K16" s="51"/>
      <c r="L16" s="10" t="str">
        <f t="shared" si="5"/>
        <v>IMMFRA</v>
      </c>
      <c r="M16" s="98" t="e">
        <f t="shared" si="6"/>
        <v>#NUM!</v>
      </c>
      <c r="N16" s="148" t="str">
        <f>IFERROR(_xll.qlRateHelperQuoteName(M16,Trigger),"--")</f>
        <v>--</v>
      </c>
      <c r="O16" s="153" t="str">
        <f>IFERROR(_xll.qlRateHelperQuoteValue($M16,Trigger),"--")</f>
        <v>--</v>
      </c>
      <c r="P16" s="101" t="b">
        <v>1</v>
      </c>
      <c r="Q16" s="98">
        <v>60</v>
      </c>
      <c r="R16" s="98">
        <v>21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1"/>
        <v/>
      </c>
      <c r="W16" s="4" t="e">
        <v>#NUM!</v>
      </c>
      <c r="X16" s="4" t="str">
        <f>IFERROR(_xll.qlRateHelperQuoteName(W16,Trigger),"")</f>
        <v/>
      </c>
      <c r="Y16" s="73" t="str">
        <f>IFERROR(_xll.qlRateHelperRate(W16,Trigger),"")</f>
        <v/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 t="str">
        <f>IFERROR(_xll.qlRateHelperEarliestDate(W16,Trigger),"")</f>
        <v/>
      </c>
      <c r="AB16" s="5" t="str">
        <f>IFERROR(_xll.qlRateHelperPillarDate(W16,Trigger),"")</f>
        <v/>
      </c>
      <c r="AC16" s="81" t="e">
        <v>#VALUE!</v>
      </c>
      <c r="AD16" s="190"/>
      <c r="AE16" s="164">
        <v>6</v>
      </c>
      <c r="AF16" s="165">
        <f>_xll.qlCalendarEndOfMonth(Calendar,_xll.qlCalendarAdvance(Calendar,AF15,"1m","mf",TRUE),Trigger)</f>
        <v>42521</v>
      </c>
      <c r="AG16" s="164" t="str">
        <f t="shared" si="7"/>
        <v>SEKJump6_SYNTHON_Quote</v>
      </c>
      <c r="AH16" s="195">
        <f>_xll.qlDayCounterYearFraction("actual/360",AF16,_xll.qlCalendarAdvance(Calendar,AF16,"1D",,,Trigger))</f>
        <v>2.7777777777777779E-3</v>
      </c>
      <c r="AI16" s="166" t="e">
        <f>IF(_xll.qlQuoteIsValid(AG16,Trigger),_xll.qlQuoteValue(AG16,Trigger),1)</f>
        <v>#NUM!</v>
      </c>
      <c r="AJ16" s="198" t="e">
        <f t="shared" si="10"/>
        <v>#NUM!</v>
      </c>
      <c r="AK16" s="203">
        <v>0</v>
      </c>
      <c r="AL16" s="166">
        <f t="shared" si="11"/>
        <v>1</v>
      </c>
    </row>
    <row r="17" spans="1:38" ht="11.25" customHeight="1" x14ac:dyDescent="0.2">
      <c r="A17" s="62" t="s">
        <v>147</v>
      </c>
      <c r="B17" s="120" t="b">
        <v>1</v>
      </c>
      <c r="C17" s="65" t="str">
        <f>_xll.qlIMMNextCode(C16,B17,Trigger)</f>
        <v>H7</v>
      </c>
      <c r="D17" s="64">
        <v>6</v>
      </c>
      <c r="E17" s="129"/>
      <c r="F17" s="129"/>
      <c r="G17" s="64" t="str">
        <f t="shared" si="8"/>
        <v>Sekibor3M</v>
      </c>
      <c r="H17" s="123" t="str">
        <f t="shared" si="9"/>
        <v>FUTSEK3F6_Quote</v>
      </c>
      <c r="I17" s="132">
        <v>0</v>
      </c>
      <c r="J17" s="67" t="e">
        <f>_xll.qlFuturesRateHelper(,H17,$H$10,C17,G17,I17,Permanent,Trigger,ObjectOverwrite)</f>
        <v>#NUM!</v>
      </c>
      <c r="K17" s="51"/>
      <c r="L17" s="10" t="str">
        <f t="shared" si="5"/>
        <v>IMMFRA</v>
      </c>
      <c r="M17" s="98" t="e">
        <f t="shared" si="6"/>
        <v>#NUM!</v>
      </c>
      <c r="N17" s="148" t="str">
        <f>IFERROR(_xll.qlRateHelperQuoteName(M17,Trigger),"--")</f>
        <v>--</v>
      </c>
      <c r="O17" s="153" t="str">
        <f>IFERROR(_xll.qlRateHelperQuoteValue($M17,Trigger),"--")</f>
        <v>--</v>
      </c>
      <c r="P17" s="101" t="b">
        <v>1</v>
      </c>
      <c r="Q17" s="98">
        <v>60</v>
      </c>
      <c r="R17" s="98">
        <v>21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1"/>
        <v/>
      </c>
      <c r="W17" s="4" t="e">
        <v>#NUM!</v>
      </c>
      <c r="X17" s="4" t="str">
        <f>IFERROR(_xll.qlRateHelperQuoteName(W17,Trigger),"")</f>
        <v/>
      </c>
      <c r="Y17" s="73" t="str">
        <f>IFERROR(_xll.qlRateHelperRate(W17,Trigger),"")</f>
        <v/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 t="str">
        <f>IFERROR(_xll.qlRateHelperEarliestDate(W17,Trigger),"")</f>
        <v/>
      </c>
      <c r="AB17" s="5" t="str">
        <f>IFERROR(_xll.qlRateHelperPillarDate(W17,Trigger),"")</f>
        <v/>
      </c>
      <c r="AC17" s="81" t="e">
        <v>#VALUE!</v>
      </c>
      <c r="AD17" s="190"/>
      <c r="AE17" s="164">
        <v>7</v>
      </c>
      <c r="AF17" s="165">
        <f>_xll.qlCalendarEndOfMonth(Calendar,_xll.qlCalendarAdvance(Calendar,AF16,"1m","mf",TRUE),Trigger)</f>
        <v>42551</v>
      </c>
      <c r="AG17" s="164" t="str">
        <f t="shared" si="7"/>
        <v>SEKJump7_SYNTHON_Quote</v>
      </c>
      <c r="AH17" s="195">
        <f>_xll.qlDayCounterYearFraction("actual/360",AF17,_xll.qlCalendarAdvance(Calendar,AF17,"1D",,,Trigger))</f>
        <v>2.7777777777777779E-3</v>
      </c>
      <c r="AI17" s="166" t="e">
        <f>IF(_xll.qlQuoteIsValid(AG17,Trigger),_xll.qlQuoteValue(AG17,Trigger),1)</f>
        <v>#NUM!</v>
      </c>
      <c r="AJ17" s="198" t="e">
        <f t="shared" si="10"/>
        <v>#NUM!</v>
      </c>
      <c r="AK17" s="203">
        <v>0</v>
      </c>
      <c r="AL17" s="166">
        <f t="shared" si="11"/>
        <v>1</v>
      </c>
    </row>
    <row r="18" spans="1:38" ht="11.25" customHeight="1" x14ac:dyDescent="0.2">
      <c r="A18" s="62" t="s">
        <v>147</v>
      </c>
      <c r="B18" s="120" t="b">
        <v>1</v>
      </c>
      <c r="C18" s="65" t="str">
        <f>_xll.qlIMMNextCode(C17,B18,Trigger)</f>
        <v>M7</v>
      </c>
      <c r="D18" s="64">
        <v>7</v>
      </c>
      <c r="E18" s="129"/>
      <c r="F18" s="129"/>
      <c r="G18" s="64" t="str">
        <f t="shared" si="8"/>
        <v>Sekibor3M</v>
      </c>
      <c r="H18" s="123" t="str">
        <f t="shared" si="9"/>
        <v>FUTSEK3F7_Quote</v>
      </c>
      <c r="I18" s="132">
        <v>0</v>
      </c>
      <c r="J18" s="67" t="e">
        <f>_xll.qlFuturesRateHelper(,H18,$H$10,C18,G18,I18,Permanent,Trigger,ObjectOverwrite)</f>
        <v>#NUM!</v>
      </c>
      <c r="K18" s="51"/>
      <c r="L18" s="10" t="str">
        <f t="shared" si="5"/>
        <v>IMMFRA</v>
      </c>
      <c r="M18" s="98" t="e">
        <f t="shared" si="6"/>
        <v>#NUM!</v>
      </c>
      <c r="N18" s="148" t="str">
        <f>IFERROR(_xll.qlRateHelperQuoteName(M18,Trigger),"--")</f>
        <v>--</v>
      </c>
      <c r="O18" s="153" t="str">
        <f>IFERROR(_xll.qlRateHelperQuoteValue($M18,Trigger),"--")</f>
        <v>--</v>
      </c>
      <c r="P18" s="101" t="b">
        <v>1</v>
      </c>
      <c r="Q18" s="98">
        <v>60</v>
      </c>
      <c r="R18" s="98">
        <v>21</v>
      </c>
      <c r="S18" s="103" t="str">
        <f>IFERROR(_xll.qlRateHelperEarliestDate(M18,Trigger),"--")</f>
        <v>--</v>
      </c>
      <c r="T18" s="103" t="str">
        <f>IFERROR(_xll.qlRateHelperPillarDate(M18,Trigger),"--")</f>
        <v>--</v>
      </c>
      <c r="V18" s="4" t="str">
        <f t="shared" si="1"/>
        <v/>
      </c>
      <c r="W18" s="4" t="e">
        <v>#NUM!</v>
      </c>
      <c r="X18" s="4" t="str">
        <f>IFERROR(_xll.qlRateHelperQuoteName(W18,Trigger),"")</f>
        <v/>
      </c>
      <c r="Y18" s="73" t="str">
        <f>IFERROR(_xll.qlRateHelperRate(W18,Trigger),"")</f>
        <v/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 t="str">
        <f>IFERROR(_xll.qlRateHelperEarliestDate(W18,Trigger),"")</f>
        <v/>
      </c>
      <c r="AB18" s="5" t="str">
        <f>IFERROR(_xll.qlRateHelperPillarDate(W18,Trigger),"")</f>
        <v/>
      </c>
      <c r="AC18" s="81" t="e">
        <v>#VALUE!</v>
      </c>
      <c r="AD18" s="190"/>
      <c r="AE18" s="164">
        <v>8</v>
      </c>
      <c r="AF18" s="165">
        <f>_xll.qlCalendarEndOfMonth(Calendar,_xll.qlCalendarAdvance(Calendar,AF17,"1m","mf",TRUE),Trigger)</f>
        <v>42580</v>
      </c>
      <c r="AG18" s="164" t="str">
        <f t="shared" si="7"/>
        <v>SEKJump8_SYNTHON_Quote</v>
      </c>
      <c r="AH18" s="195">
        <f>_xll.qlDayCounterYearFraction("actual/360",AF18,_xll.qlCalendarAdvance(Calendar,AF18,"1D",,,Trigger))</f>
        <v>8.3333333333333332E-3</v>
      </c>
      <c r="AI18" s="166" t="e">
        <f>IF(_xll.qlQuoteIsValid(AG18,Trigger),_xll.qlQuoteValue(AG18,Trigger),1)</f>
        <v>#NUM!</v>
      </c>
      <c r="AJ18" s="198" t="e">
        <f t="shared" si="10"/>
        <v>#NUM!</v>
      </c>
      <c r="AK18" s="203">
        <v>0</v>
      </c>
      <c r="AL18" s="166">
        <f t="shared" si="11"/>
        <v>1</v>
      </c>
    </row>
    <row r="19" spans="1:38" ht="11.25" customHeight="1" x14ac:dyDescent="0.2">
      <c r="A19" s="62" t="s">
        <v>147</v>
      </c>
      <c r="B19" s="120" t="b">
        <v>1</v>
      </c>
      <c r="C19" s="65" t="str">
        <f>_xll.qlIMMNextCode(C18,B19,Trigger)</f>
        <v>U7</v>
      </c>
      <c r="D19" s="64">
        <v>8</v>
      </c>
      <c r="E19" s="129"/>
      <c r="F19" s="129"/>
      <c r="G19" s="64" t="str">
        <f t="shared" si="8"/>
        <v>Sekibor3M</v>
      </c>
      <c r="H19" s="123" t="str">
        <f t="shared" si="9"/>
        <v>FUTSEK3F8_Quote</v>
      </c>
      <c r="I19" s="132">
        <v>0</v>
      </c>
      <c r="J19" s="67" t="e">
        <f>_xll.qlFuturesRateHelper(,H19,$H$10,C19,G19,I19,Permanent,Trigger,ObjectOverwrite)</f>
        <v>#NUM!</v>
      </c>
      <c r="K19" s="51"/>
      <c r="L19" s="10" t="str">
        <f t="shared" si="5"/>
        <v>IMMFRA</v>
      </c>
      <c r="M19" s="98" t="e">
        <f t="shared" si="6"/>
        <v>#NUM!</v>
      </c>
      <c r="N19" s="148" t="str">
        <f>IFERROR(_xll.qlRateHelperQuoteName(M19,Trigger),"--")</f>
        <v>--</v>
      </c>
      <c r="O19" s="153" t="str">
        <f>IFERROR(_xll.qlRateHelperQuoteValue($M19,Trigger),"--")</f>
        <v>--</v>
      </c>
      <c r="P19" s="101" t="b">
        <v>1</v>
      </c>
      <c r="Q19" s="98">
        <v>60</v>
      </c>
      <c r="R19" s="98">
        <v>21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1"/>
        <v/>
      </c>
      <c r="W19" s="4" t="e">
        <v>#NUM!</v>
      </c>
      <c r="X19" s="4" t="str">
        <f>IFERROR(_xll.qlRateHelperQuoteName(W19,Trigger),"")</f>
        <v/>
      </c>
      <c r="Y19" s="73" t="str">
        <f>IFERROR(_xll.qlRateHelperRate(W19,Trigger),"")</f>
        <v/>
      </c>
      <c r="Z19" s="108" t="str">
        <f>IF(ISERROR(_xll.qlSwapRateHelperSpread($W19)),IF(ISERROR(_xll.qlFuturesRateHelperConvexityAdjustment($W19)),"",_xll.qlFuturesRateHelperConvexityAdjustment($W19)),_xll.qlSwapRateHelperSpread($W19))</f>
        <v/>
      </c>
      <c r="AA19" s="5" t="str">
        <f>IFERROR(_xll.qlRateHelperEarliestDate(W19,Trigger),"")</f>
        <v/>
      </c>
      <c r="AB19" s="5" t="str">
        <f>IFERROR(_xll.qlRateHelperPillarDate(W19,Trigger),"")</f>
        <v/>
      </c>
      <c r="AC19" s="81" t="e">
        <v>#VALUE!</v>
      </c>
      <c r="AD19" s="190"/>
      <c r="AE19" s="164">
        <v>9</v>
      </c>
      <c r="AF19" s="165">
        <f>_xll.qlCalendarEndOfMonth(Calendar,_xll.qlCalendarAdvance(Calendar,AF18,"1m","mf",TRUE),Trigger)</f>
        <v>42613</v>
      </c>
      <c r="AG19" s="164" t="str">
        <f t="shared" si="7"/>
        <v>SEKJump9_SYNTHON_Quote</v>
      </c>
      <c r="AH19" s="195">
        <f>_xll.qlDayCounterYearFraction("actual/360",AF19,_xll.qlCalendarAdvance(Calendar,AF19,"1D",,,Trigger))</f>
        <v>2.7777777777777779E-3</v>
      </c>
      <c r="AI19" s="166" t="e">
        <f>IF(_xll.qlQuoteIsValid(AG19,Trigger),_xll.qlQuoteValue(AG19,Trigger),1)</f>
        <v>#NUM!</v>
      </c>
      <c r="AJ19" s="198" t="e">
        <f t="shared" si="10"/>
        <v>#NUM!</v>
      </c>
      <c r="AK19" s="203">
        <v>0</v>
      </c>
      <c r="AL19" s="166">
        <f t="shared" si="11"/>
        <v>1</v>
      </c>
    </row>
    <row r="20" spans="1:38" ht="11.25" customHeight="1" x14ac:dyDescent="0.2">
      <c r="A20" s="62" t="s">
        <v>147</v>
      </c>
      <c r="B20" s="120" t="b">
        <v>1</v>
      </c>
      <c r="C20" s="65" t="str">
        <f>_xll.qlIMMNextCode(C19,B20,Trigger)</f>
        <v>Z7</v>
      </c>
      <c r="D20" s="64">
        <v>9</v>
      </c>
      <c r="E20" s="129"/>
      <c r="F20" s="129"/>
      <c r="G20" s="64" t="str">
        <f t="shared" si="8"/>
        <v>Sekibor3M</v>
      </c>
      <c r="H20" s="123" t="str">
        <f t="shared" si="9"/>
        <v>FUTSEK3F9_Quote</v>
      </c>
      <c r="I20" s="132">
        <v>0</v>
      </c>
      <c r="J20" s="67" t="e">
        <f>_xll.qlFuturesRateHelper(,H20,$H$10,C20,G20,I20,Permanent,Trigger,ObjectOverwrite)</f>
        <v>#NUM!</v>
      </c>
      <c r="K20" s="51"/>
      <c r="L20" s="10" t="str">
        <f t="shared" si="5"/>
        <v>IMMFRA</v>
      </c>
      <c r="M20" s="98" t="e">
        <f t="shared" si="6"/>
        <v>#NUM!</v>
      </c>
      <c r="N20" s="148" t="str">
        <f>IFERROR(_xll.qlRateHelperQuoteName(M20,Trigger),"--")</f>
        <v>--</v>
      </c>
      <c r="O20" s="153" t="str">
        <f>IFERROR(_xll.qlRateHelperQuoteValue($M20,Trigger),"--")</f>
        <v>--</v>
      </c>
      <c r="P20" s="101" t="b">
        <v>1</v>
      </c>
      <c r="Q20" s="98">
        <v>60</v>
      </c>
      <c r="R20" s="98">
        <v>21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1"/>
        <v/>
      </c>
      <c r="W20" s="4" t="e">
        <v>#NUM!</v>
      </c>
      <c r="X20" s="4" t="str">
        <f>IFERROR(_xll.qlRateHelperQuoteName(W20,Trigger),"")</f>
        <v/>
      </c>
      <c r="Y20" s="73" t="str">
        <f>IFERROR(_xll.qlRateHelperRate(W20,Trigger),"")</f>
        <v/>
      </c>
      <c r="Z20" s="108" t="str">
        <f>IF(ISERROR(_xll.qlSwapRateHelperSpread($W20)),IF(ISERROR(_xll.qlFuturesRateHelperConvexityAdjustment($W20)),"",_xll.qlFuturesRateHelperConvexityAdjustment($W20)),_xll.qlSwapRateHelperSpread($W20))</f>
        <v/>
      </c>
      <c r="AA20" s="5" t="str">
        <f>IFERROR(_xll.qlRateHelperEarliestDate(W20,Trigger),"")</f>
        <v/>
      </c>
      <c r="AB20" s="5" t="str">
        <f>IFERROR(_xll.qlRateHelperPillarDate(W20,Trigger),"")</f>
        <v/>
      </c>
      <c r="AC20" s="81" t="e">
        <v>#VALUE!</v>
      </c>
      <c r="AD20" s="190"/>
      <c r="AE20" s="164">
        <v>10</v>
      </c>
      <c r="AF20" s="165">
        <f>_xll.qlCalendarEndOfMonth(Calendar,_xll.qlCalendarAdvance(Calendar,AF19,"1m","mf",TRUE),Trigger)</f>
        <v>42643</v>
      </c>
      <c r="AG20" s="164" t="str">
        <f t="shared" si="7"/>
        <v>SEKJump10_SYNTHON_Quote</v>
      </c>
      <c r="AH20" s="195">
        <f>_xll.qlDayCounterYearFraction("actual/360",AF20,_xll.qlCalendarAdvance(Calendar,AF20,"1D",,,Trigger))</f>
        <v>8.3333333333333332E-3</v>
      </c>
      <c r="AI20" s="166" t="e">
        <f>IF(_xll.qlQuoteIsValid(AG20,Trigger),_xll.qlQuoteValue(AG20,Trigger),1)</f>
        <v>#NUM!</v>
      </c>
      <c r="AJ20" s="198" t="e">
        <f t="shared" si="10"/>
        <v>#NUM!</v>
      </c>
      <c r="AK20" s="203">
        <v>0</v>
      </c>
      <c r="AL20" s="166">
        <f t="shared" si="11"/>
        <v>1</v>
      </c>
    </row>
    <row r="21" spans="1:38" ht="11.25" customHeight="1" x14ac:dyDescent="0.2">
      <c r="A21" s="62" t="s">
        <v>147</v>
      </c>
      <c r="B21" s="120" t="b">
        <v>1</v>
      </c>
      <c r="C21" s="65" t="str">
        <f>_xll.qlIMMNextCode(C20,B21,Trigger)</f>
        <v>H8</v>
      </c>
      <c r="D21" s="64">
        <v>10</v>
      </c>
      <c r="E21" s="129"/>
      <c r="F21" s="129"/>
      <c r="G21" s="64" t="str">
        <f t="shared" si="8"/>
        <v>Sekibor3M</v>
      </c>
      <c r="H21" s="123" t="str">
        <f t="shared" si="9"/>
        <v>FUTSEK3F10_Quote</v>
      </c>
      <c r="I21" s="132">
        <v>0</v>
      </c>
      <c r="J21" s="67" t="e">
        <f>_xll.qlFuturesRateHelper(,H21,$H$10,C21,G21,I21,Permanent,Trigger,ObjectOverwrite)</f>
        <v>#NUM!</v>
      </c>
      <c r="K21" s="51"/>
      <c r="L21" s="10" t="str">
        <f t="shared" si="5"/>
        <v>IMMFRA</v>
      </c>
      <c r="M21" s="98" t="e">
        <f t="shared" si="6"/>
        <v>#NUM!</v>
      </c>
      <c r="N21" s="148" t="str">
        <f>IFERROR(_xll.qlRateHelperQuoteName(M21,Trigger),"--")</f>
        <v>--</v>
      </c>
      <c r="O21" s="153" t="str">
        <f>IFERROR(_xll.qlRateHelperQuoteValue($M21,Trigger),"--")</f>
        <v>--</v>
      </c>
      <c r="P21" s="101" t="b">
        <v>1</v>
      </c>
      <c r="Q21" s="98">
        <v>60</v>
      </c>
      <c r="R21" s="98">
        <v>21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1"/>
        <v/>
      </c>
      <c r="W21" s="4" t="e">
        <v>#NUM!</v>
      </c>
      <c r="X21" s="4" t="str">
        <f>IFERROR(_xll.qlRateHelperQuoteName(W21,Trigger),"")</f>
        <v/>
      </c>
      <c r="Y21" s="73" t="str">
        <f>IFERROR(_xll.qlRateHelperRate(W21,Trigger),"")</f>
        <v/>
      </c>
      <c r="Z21" s="108" t="str">
        <f>IF(ISERROR(_xll.qlSwapRateHelperSpread($W21)),IF(ISERROR(_xll.qlFuturesRateHelperConvexityAdjustment($W21)),"",_xll.qlFuturesRateHelperConvexityAdjustment($W21)),_xll.qlSwapRateHelperSpread($W21))</f>
        <v/>
      </c>
      <c r="AA21" s="5" t="str">
        <f>IFERROR(_xll.qlRateHelperEarliestDate(W21,Trigger),"")</f>
        <v/>
      </c>
      <c r="AB21" s="5" t="str">
        <f>IFERROR(_xll.qlRateHelperPillarDate(W21,Trigger),"")</f>
        <v/>
      </c>
      <c r="AC21" s="81" t="e">
        <v>#VALUE!</v>
      </c>
      <c r="AD21" s="190"/>
      <c r="AE21" s="164">
        <v>11</v>
      </c>
      <c r="AF21" s="165">
        <f>_xll.qlCalendarEndOfMonth(Calendar,_xll.qlCalendarAdvance(Calendar,AF20,"1m","mf",TRUE),Trigger)</f>
        <v>42674</v>
      </c>
      <c r="AG21" s="164" t="str">
        <f t="shared" si="7"/>
        <v>SEKJump11_SYNTHON_Quote</v>
      </c>
      <c r="AH21" s="195">
        <f>_xll.qlDayCounterYearFraction("actual/360",AF21,_xll.qlCalendarAdvance(Calendar,AF21,"1D",,,Trigger))</f>
        <v>2.7777777777777779E-3</v>
      </c>
      <c r="AI21" s="166" t="e">
        <f>IF(_xll.qlQuoteIsValid(AG21,Trigger),_xll.qlQuoteValue(AG21,Trigger),1)</f>
        <v>#NUM!</v>
      </c>
      <c r="AJ21" s="198" t="e">
        <f t="shared" si="10"/>
        <v>#NUM!</v>
      </c>
      <c r="AK21" s="203">
        <v>0</v>
      </c>
      <c r="AL21" s="166">
        <f t="shared" si="11"/>
        <v>1</v>
      </c>
    </row>
    <row r="22" spans="1:38" ht="11.25" customHeight="1" x14ac:dyDescent="0.2">
      <c r="A22" s="62" t="s">
        <v>147</v>
      </c>
      <c r="B22" s="120" t="b">
        <v>1</v>
      </c>
      <c r="C22" s="65" t="str">
        <f>_xll.qlIMMNextCode(C21,B22,Trigger)</f>
        <v>M8</v>
      </c>
      <c r="D22" s="64">
        <v>11</v>
      </c>
      <c r="E22" s="129"/>
      <c r="F22" s="129"/>
      <c r="G22" s="64" t="str">
        <f t="shared" si="8"/>
        <v>Sekibor3M</v>
      </c>
      <c r="H22" s="123" t="str">
        <f t="shared" si="9"/>
        <v>FUTSEK3F11_Quote</v>
      </c>
      <c r="I22" s="132">
        <v>0</v>
      </c>
      <c r="J22" s="67" t="e">
        <f>_xll.qlFuturesRateHelper(,H22,$H$10,C22,G22,I22,Permanent,Trigger,ObjectOverwrite)</f>
        <v>#NUM!</v>
      </c>
      <c r="K22" s="51"/>
      <c r="L22" s="10" t="str">
        <f t="shared" si="5"/>
        <v>IMMFRA</v>
      </c>
      <c r="M22" s="98" t="str">
        <f t="shared" si="6"/>
        <v>--</v>
      </c>
      <c r="N22" s="148" t="str">
        <f>IFERROR(_xll.qlRateHelperQuoteName(M22,Trigger),"--")</f>
        <v>--</v>
      </c>
      <c r="O22" s="153" t="str">
        <f>IFERROR(_xll.qlRateHelperQuoteValue($M22,Trigger),"--")</f>
        <v>--</v>
      </c>
      <c r="P22" s="101" t="b">
        <v>0</v>
      </c>
      <c r="Q22" s="98">
        <v>60</v>
      </c>
      <c r="R22" s="98">
        <v>21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4" t="str">
        <f t="shared" si="1"/>
        <v/>
      </c>
      <c r="W22" s="4" t="e">
        <v>#NUM!</v>
      </c>
      <c r="X22" s="4" t="str">
        <f>IFERROR(_xll.qlRateHelperQuoteName(W22,Trigger),"")</f>
        <v/>
      </c>
      <c r="Y22" s="73" t="str">
        <f>IFERROR(_xll.qlRateHelperRate(W22,Trigger),"")</f>
        <v/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 t="str">
        <f>IFERROR(_xll.qlRateHelperEarliestDate(W22,Trigger),"")</f>
        <v/>
      </c>
      <c r="AB22" s="5" t="str">
        <f>IFERROR(_xll.qlRateHelperPillarDate(W22,Trigger),"")</f>
        <v/>
      </c>
      <c r="AC22" s="81" t="e">
        <v>#VALUE!</v>
      </c>
      <c r="AD22" s="190"/>
      <c r="AE22" s="164">
        <v>12</v>
      </c>
      <c r="AF22" s="165">
        <f>_xll.qlCalendarEndOfMonth(Calendar,_xll.qlCalendarAdvance(Calendar,AF21,"1m","mf",TRUE),Trigger)</f>
        <v>42704</v>
      </c>
      <c r="AG22" s="164" t="str">
        <f t="shared" si="7"/>
        <v>SEKJump12_SYNTHON_Quote</v>
      </c>
      <c r="AH22" s="195">
        <f>_xll.qlDayCounterYearFraction("actual/360",AF22,_xll.qlCalendarAdvance(Calendar,AF22,"1D",,,Trigger))</f>
        <v>2.7777777777777779E-3</v>
      </c>
      <c r="AI22" s="166" t="e">
        <f>IF(_xll.qlQuoteIsValid(AG22,Trigger),_xll.qlQuoteValue(AG22,Trigger),1)</f>
        <v>#NUM!</v>
      </c>
      <c r="AJ22" s="198" t="e">
        <f t="shared" si="10"/>
        <v>#NUM!</v>
      </c>
      <c r="AK22" s="203">
        <v>0</v>
      </c>
      <c r="AL22" s="166">
        <f t="shared" si="11"/>
        <v>1</v>
      </c>
    </row>
    <row r="23" spans="1:38" ht="11.25" customHeight="1" x14ac:dyDescent="0.2">
      <c r="A23" s="62" t="s">
        <v>147</v>
      </c>
      <c r="B23" s="120" t="b">
        <v>1</v>
      </c>
      <c r="C23" s="65" t="str">
        <f>_xll.qlIMMNextCode(C22,B23,Trigger)</f>
        <v>U8</v>
      </c>
      <c r="D23" s="64">
        <v>12</v>
      </c>
      <c r="E23" s="129"/>
      <c r="F23" s="129"/>
      <c r="G23" s="64" t="str">
        <f t="shared" si="8"/>
        <v>Sekibor3M</v>
      </c>
      <c r="H23" s="123" t="str">
        <f t="shared" si="9"/>
        <v>FUTSEK3F12_Quote</v>
      </c>
      <c r="I23" s="132">
        <v>0</v>
      </c>
      <c r="J23" s="67" t="e">
        <f>_xll.qlFuturesRateHelper(,H23,$H$10,C23,G23,I23,Permanent,Trigger,ObjectOverwrite)</f>
        <v>#NUM!</v>
      </c>
      <c r="K23" s="51"/>
      <c r="L23" s="10" t="str">
        <f t="shared" si="5"/>
        <v>IMMFRA</v>
      </c>
      <c r="M23" s="98" t="str">
        <f t="shared" si="6"/>
        <v>--</v>
      </c>
      <c r="N23" s="148" t="str">
        <f>IFERROR(_xll.qlRateHelperQuoteName(M23,Trigger),"--")</f>
        <v>--</v>
      </c>
      <c r="O23" s="153" t="str">
        <f>IFERROR(_xll.qlRateHelperQuoteValue($M23,Trigger),"--")</f>
        <v>--</v>
      </c>
      <c r="P23" s="101" t="b">
        <v>0</v>
      </c>
      <c r="Q23" s="98">
        <v>30</v>
      </c>
      <c r="R23" s="98">
        <v>21</v>
      </c>
      <c r="S23" s="103" t="str">
        <f>IFERROR(_xll.qlRateHelperEarliestDate(M23,Trigger),"--")</f>
        <v>--</v>
      </c>
      <c r="T23" s="103" t="str">
        <f>IFERROR(_xll.qlRateHelperPillarDate(M23,Trigger),"--")</f>
        <v>--</v>
      </c>
      <c r="V23" s="4" t="str">
        <f t="shared" si="1"/>
        <v/>
      </c>
      <c r="W23" s="4" t="e">
        <v>#NUM!</v>
      </c>
      <c r="X23" s="4" t="str">
        <f>IFERROR(_xll.qlRateHelperQuoteName(W23,Trigger),"")</f>
        <v/>
      </c>
      <c r="Y23" s="73" t="str">
        <f>IFERROR(_xll.qlRateHelperRate(W23,Trigger),"")</f>
        <v/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 t="str">
        <f>IFERROR(_xll.qlRateHelperEarliestDate(W23,Trigger),"")</f>
        <v/>
      </c>
      <c r="AB23" s="5" t="str">
        <f>IFERROR(_xll.qlRateHelperPillarDate(W23,Trigger),"")</f>
        <v/>
      </c>
      <c r="AC23" s="81" t="e">
        <v>#VALUE!</v>
      </c>
      <c r="AD23" s="190"/>
      <c r="AE23" s="167">
        <v>13</v>
      </c>
      <c r="AF23" s="168">
        <f>_xll.qlCalendarAdjust(Calendar,DATE(YEAR(AF11)+1,12,31),"preceding",Trigger)</f>
        <v>42734</v>
      </c>
      <c r="AG23" s="167" t="str">
        <f t="shared" si="7"/>
        <v>SEKJump13_SYNTHON_Quote</v>
      </c>
      <c r="AH23" s="196">
        <f>_xll.qlDayCounterYearFraction("actual/360",AF23,_xll.qlCalendarAdvance(Calendar,AF23,"1D",,,Trigger))</f>
        <v>8.3333333333333332E-3</v>
      </c>
      <c r="AI23" s="169" t="e">
        <f>IF(_xll.qlQuoteIsValid(AG23,Trigger),_xll.qlQuoteValue(AG23,Trigger),1)</f>
        <v>#NUM!</v>
      </c>
      <c r="AJ23" s="199" t="e">
        <f t="shared" si="10"/>
        <v>#NUM!</v>
      </c>
      <c r="AK23" s="204">
        <v>0</v>
      </c>
      <c r="AL23" s="169">
        <f t="shared" si="11"/>
        <v>1</v>
      </c>
    </row>
    <row r="24" spans="1:38" ht="11.25" customHeight="1" x14ac:dyDescent="0.2">
      <c r="A24" s="62" t="s">
        <v>147</v>
      </c>
      <c r="B24" s="120" t="b">
        <v>1</v>
      </c>
      <c r="C24" s="65" t="str">
        <f>_xll.qlIMMNextCode(C23,B24,Trigger)</f>
        <v>Z8</v>
      </c>
      <c r="D24" s="64">
        <v>13</v>
      </c>
      <c r="E24" s="129"/>
      <c r="F24" s="129"/>
      <c r="G24" s="64" t="str">
        <f t="shared" si="8"/>
        <v>Sekibor3M</v>
      </c>
      <c r="H24" s="123" t="str">
        <f t="shared" si="9"/>
        <v>FUTSEK3F13_Quote</v>
      </c>
      <c r="I24" s="132">
        <v>0</v>
      </c>
      <c r="J24" s="67"/>
      <c r="K24" s="51"/>
      <c r="L24" s="11" t="str">
        <f t="shared" si="5"/>
        <v>IMMFRA</v>
      </c>
      <c r="M24" s="99" t="str">
        <f t="shared" si="6"/>
        <v>--</v>
      </c>
      <c r="N24" s="149" t="str">
        <f>IFERROR(_xll.qlRateHelperQuoteName(M24,Trigger),"--")</f>
        <v>--</v>
      </c>
      <c r="O24" s="154" t="str">
        <f>IFERROR(_xll.qlRateHelperQuoteValue($M24,Trigger),"--")</f>
        <v>--</v>
      </c>
      <c r="P24" s="104" t="b">
        <v>0</v>
      </c>
      <c r="Q24" s="99">
        <v>30</v>
      </c>
      <c r="R24" s="99">
        <v>21</v>
      </c>
      <c r="S24" s="106" t="str">
        <f>IFERROR(_xll.qlRateHelperEarliestDate(M24,Trigger),"--")</f>
        <v>--</v>
      </c>
      <c r="T24" s="106" t="str">
        <f>IFERROR(_xll.qlRateHelperPillarDate(M24,Trigger),"--")</f>
        <v>--</v>
      </c>
      <c r="V24" s="4" t="str">
        <f t="shared" si="1"/>
        <v/>
      </c>
      <c r="W24" s="4" t="e">
        <v>#NUM!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#VALUE!</v>
      </c>
      <c r="AD24" s="190"/>
    </row>
    <row r="25" spans="1:38" ht="11.25" customHeight="1" x14ac:dyDescent="0.2">
      <c r="A25" s="62" t="s">
        <v>147</v>
      </c>
      <c r="B25" s="120" t="b">
        <v>1</v>
      </c>
      <c r="C25" s="65" t="str">
        <f>_xll.qlIMMNextCode(C24,B25,Trigger)</f>
        <v>H9</v>
      </c>
      <c r="D25" s="64">
        <v>14</v>
      </c>
      <c r="E25" s="129"/>
      <c r="F25" s="129"/>
      <c r="G25" s="64" t="str">
        <f t="shared" si="8"/>
        <v>Sekibor3M</v>
      </c>
      <c r="H25" s="123" t="str">
        <f t="shared" si="9"/>
        <v>FUTSEK3F14_Quote</v>
      </c>
      <c r="I25" s="132">
        <v>0</v>
      </c>
      <c r="J25" s="67"/>
      <c r="K25" s="51"/>
      <c r="L25" s="139" t="str">
        <f t="shared" ref="L25:L45" si="12">A29</f>
        <v>Sw</v>
      </c>
      <c r="M25" s="140" t="str">
        <f t="shared" ref="M25:M45" si="13">IF(ISBLANK(J29),"--",J29)</f>
        <v>--</v>
      </c>
      <c r="N25" s="150" t="str">
        <f>IFERROR(_xll.qlRateHelperQuoteName(M25,Trigger),"--")</f>
        <v>--</v>
      </c>
      <c r="O25" s="141" t="str">
        <f>IFERROR(_xll.qlRateHelperQuoteValue($M25,Trigger),"--")</f>
        <v>--</v>
      </c>
      <c r="P25" s="140" t="b">
        <v>0</v>
      </c>
      <c r="Q25" s="140">
        <v>50</v>
      </c>
      <c r="R25" s="140">
        <v>1</v>
      </c>
      <c r="S25" s="142" t="str">
        <f>IFERROR(_xll.qlRateHelperEarliestDate(M25,Trigger),"--")</f>
        <v>--</v>
      </c>
      <c r="T25" s="142" t="str">
        <f>IFERROR(_xll.qlRateHelperPillarDate(M25,Trigger),"--")</f>
        <v>--</v>
      </c>
      <c r="V25" s="4" t="str">
        <f t="shared" si="1"/>
        <v/>
      </c>
      <c r="W25" s="4" t="e">
        <v>#NUM!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#VALUE!</v>
      </c>
      <c r="AD25" s="190"/>
    </row>
    <row r="26" spans="1:38" ht="11.25" customHeight="1" x14ac:dyDescent="0.2">
      <c r="A26" s="1" t="s">
        <v>147</v>
      </c>
      <c r="B26" s="121" t="b">
        <v>1</v>
      </c>
      <c r="C26" s="9" t="str">
        <f>_xll.qlIMMNextCode(C25,B26,Trigger)</f>
        <v>M9</v>
      </c>
      <c r="D26" s="7">
        <v>15</v>
      </c>
      <c r="E26" s="130"/>
      <c r="F26" s="130"/>
      <c r="G26" s="7" t="str">
        <f t="shared" si="8"/>
        <v>Sekibor3M</v>
      </c>
      <c r="H26" s="124" t="str">
        <f t="shared" si="9"/>
        <v>FUTSEK3F15_Quote</v>
      </c>
      <c r="I26" s="134">
        <v>0</v>
      </c>
      <c r="J26" s="3"/>
      <c r="K26" s="51"/>
      <c r="L26" s="74" t="str">
        <f t="shared" si="12"/>
        <v>Sw</v>
      </c>
      <c r="M26" s="143" t="str">
        <f t="shared" si="13"/>
        <v>--</v>
      </c>
      <c r="N26" s="151" t="str">
        <f>IFERROR(_xll.qlRateHelperQuoteName(M26,Trigger),"--")</f>
        <v>--</v>
      </c>
      <c r="O26" s="144" t="str">
        <f>IFERROR(_xll.qlRateHelperQuoteValue($M26,Trigger),"--")</f>
        <v>--</v>
      </c>
      <c r="P26" s="143" t="b">
        <v>0</v>
      </c>
      <c r="Q26" s="143">
        <v>50</v>
      </c>
      <c r="R26" s="143">
        <v>1</v>
      </c>
      <c r="S26" s="145" t="str">
        <f>IFERROR(_xll.qlRateHelperEarliestDate(M26,Trigger),"--")</f>
        <v>--</v>
      </c>
      <c r="T26" s="145" t="str">
        <f>IFERROR(_xll.qlRateHelperPillarDate(M26,Trigger),"--")</f>
        <v>--</v>
      </c>
      <c r="V26" s="4" t="str">
        <f t="shared" si="1"/>
        <v/>
      </c>
      <c r="W26" s="4" t="e">
        <v>#NUM!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#VALUE!</v>
      </c>
      <c r="AD26" s="190"/>
    </row>
    <row r="27" spans="1:38" ht="11.25" customHeight="1" x14ac:dyDescent="0.2">
      <c r="G27" s="53" t="s">
        <v>117</v>
      </c>
      <c r="H27" s="53" t="s">
        <v>141</v>
      </c>
      <c r="K27" s="51"/>
      <c r="L27" s="74" t="str">
        <f t="shared" si="12"/>
        <v>Sw</v>
      </c>
      <c r="M27" s="143" t="str">
        <f t="shared" si="13"/>
        <v>--</v>
      </c>
      <c r="N27" s="151" t="str">
        <f>IFERROR(_xll.qlRateHelperQuoteName(M27,Trigger),"--")</f>
        <v>--</v>
      </c>
      <c r="O27" s="144" t="str">
        <f>IFERROR(_xll.qlRateHelperQuoteValue($M27,Trigger),"--")</f>
        <v>--</v>
      </c>
      <c r="P27" s="143" t="b">
        <v>0</v>
      </c>
      <c r="Q27" s="143">
        <v>50</v>
      </c>
      <c r="R27" s="143">
        <v>1</v>
      </c>
      <c r="S27" s="145" t="str">
        <f>IFERROR(_xll.qlRateHelperEarliestDate(M27,Trigger),"--")</f>
        <v>--</v>
      </c>
      <c r="T27" s="145" t="str">
        <f>IFERROR(_xll.qlRateHelperPillarDate(M27,Trigger),"--")</f>
        <v>--</v>
      </c>
      <c r="V27" s="4" t="str">
        <f t="shared" si="1"/>
        <v/>
      </c>
      <c r="W27" s="4" t="e">
        <v>#NUM!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#VALUE!</v>
      </c>
      <c r="AD27" s="190"/>
    </row>
    <row r="28" spans="1:38" ht="11.25" customHeight="1" x14ac:dyDescent="0.2">
      <c r="A28" s="68" t="s">
        <v>9</v>
      </c>
      <c r="B28" s="68" t="s">
        <v>30</v>
      </c>
      <c r="C28" s="68" t="s">
        <v>100</v>
      </c>
      <c r="D28" s="68" t="s">
        <v>5</v>
      </c>
      <c r="E28" s="68" t="s">
        <v>35</v>
      </c>
      <c r="F28" s="68" t="s">
        <v>101</v>
      </c>
      <c r="G28" s="68" t="s">
        <v>4</v>
      </c>
      <c r="H28" s="68" t="s">
        <v>1</v>
      </c>
      <c r="I28" s="68" t="s">
        <v>99</v>
      </c>
      <c r="J28" s="68" t="s">
        <v>25</v>
      </c>
      <c r="K28" s="51"/>
      <c r="L28" s="74" t="str">
        <f t="shared" si="12"/>
        <v>Sw</v>
      </c>
      <c r="M28" s="143" t="str">
        <f t="shared" si="13"/>
        <v>--</v>
      </c>
      <c r="N28" s="151" t="str">
        <f>IFERROR(_xll.qlRateHelperQuoteName(M28,Trigger),"--")</f>
        <v>--</v>
      </c>
      <c r="O28" s="144" t="str">
        <f>IFERROR(_xll.qlRateHelperQuoteValue($M28,Trigger),"--")</f>
        <v>--</v>
      </c>
      <c r="P28" s="143" t="b">
        <v>0</v>
      </c>
      <c r="Q28" s="143">
        <v>50</v>
      </c>
      <c r="R28" s="143">
        <v>1</v>
      </c>
      <c r="S28" s="145" t="str">
        <f>IFERROR(_xll.qlRateHelperEarliestDate(M28,Trigger),"--")</f>
        <v>--</v>
      </c>
      <c r="T28" s="145" t="str">
        <f>IFERROR(_xll.qlRateHelperPillarDate(M28,Trigger),"--")</f>
        <v>--</v>
      </c>
      <c r="V28" s="4" t="str">
        <f t="shared" si="1"/>
        <v/>
      </c>
      <c r="W28" s="4" t="e">
        <v>#NUM!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#VALUE!</v>
      </c>
      <c r="AD28" s="190"/>
    </row>
    <row r="29" spans="1:38" ht="11.25" customHeight="1" x14ac:dyDescent="0.2">
      <c r="A29" s="62" t="s">
        <v>26</v>
      </c>
      <c r="B29" s="63" t="s">
        <v>3</v>
      </c>
      <c r="C29" s="64" t="s">
        <v>6</v>
      </c>
      <c r="D29" s="64" t="s">
        <v>8</v>
      </c>
      <c r="E29" s="64" t="s">
        <v>7</v>
      </c>
      <c r="F29" s="64" t="s">
        <v>116</v>
      </c>
      <c r="G29" s="64" t="str">
        <f t="shared" ref="G29:G55" si="14">PROPER(Currency)&amp;FamilyName&amp;Tenor</f>
        <v>Sekibor3M</v>
      </c>
      <c r="H29" s="62" t="str">
        <f t="shared" ref="H29:H55" si="15">Currency&amp;$G$27&amp;$H$27&amp;$B29&amp;QuoteSuffix</f>
        <v>SEKAB3S6M_Quote</v>
      </c>
      <c r="I29" s="132">
        <v>0</v>
      </c>
      <c r="J29" s="67"/>
      <c r="K29" s="51"/>
      <c r="L29" s="74" t="str">
        <f t="shared" si="12"/>
        <v>Sw</v>
      </c>
      <c r="M29" s="143" t="str">
        <f t="shared" si="13"/>
        <v>--</v>
      </c>
      <c r="N29" s="151" t="str">
        <f>IFERROR(_xll.qlRateHelperQuoteName(M29,Trigger),"--")</f>
        <v>--</v>
      </c>
      <c r="O29" s="144" t="str">
        <f>IFERROR(_xll.qlRateHelperQuoteValue($M29,Trigger),"--")</f>
        <v>--</v>
      </c>
      <c r="P29" s="143" t="b">
        <v>0</v>
      </c>
      <c r="Q29" s="143">
        <v>50</v>
      </c>
      <c r="R29" s="143">
        <v>1</v>
      </c>
      <c r="S29" s="145" t="str">
        <f>IFERROR(_xll.qlRateHelperEarliestDate(M29,Trigger),"--")</f>
        <v>--</v>
      </c>
      <c r="T29" s="145" t="str">
        <f>IFERROR(_xll.qlRateHelperPillarDate(M29,Trigger),"--")</f>
        <v>--</v>
      </c>
      <c r="V29" s="4" t="str">
        <f t="shared" si="1"/>
        <v/>
      </c>
      <c r="W29" s="4" t="e">
        <v>#NUM!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#VALUE!</v>
      </c>
      <c r="AD29" s="190"/>
    </row>
    <row r="30" spans="1:38" ht="11.25" customHeight="1" x14ac:dyDescent="0.2">
      <c r="A30" s="62" t="s">
        <v>26</v>
      </c>
      <c r="B30" s="63" t="s">
        <v>29</v>
      </c>
      <c r="C30" s="64" t="s">
        <v>6</v>
      </c>
      <c r="D30" s="64" t="s">
        <v>8</v>
      </c>
      <c r="E30" s="64" t="s">
        <v>7</v>
      </c>
      <c r="F30" s="64" t="s">
        <v>116</v>
      </c>
      <c r="G30" s="64" t="str">
        <f t="shared" si="14"/>
        <v>Sekibor3M</v>
      </c>
      <c r="H30" s="62" t="str">
        <f t="shared" si="15"/>
        <v>SEKAB3S1Y_Quote</v>
      </c>
      <c r="I30" s="132">
        <v>0</v>
      </c>
      <c r="J30" s="67"/>
      <c r="K30" s="51"/>
      <c r="L30" s="74" t="str">
        <f t="shared" si="12"/>
        <v>Sw</v>
      </c>
      <c r="M30" s="143" t="str">
        <f t="shared" si="13"/>
        <v>obj_0010f#0000</v>
      </c>
      <c r="N30" s="151" t="str">
        <f>IFERROR(_xll.qlRateHelperQuoteName(M30,Trigger),"--")</f>
        <v>SEKAB3S2Y_Quote</v>
      </c>
      <c r="O30" s="144">
        <f>IFERROR(_xll.qlRateHelperQuoteValue($M30,Trigger),"--")</f>
        <v>-3.1000000000000003E-3</v>
      </c>
      <c r="P30" s="143" t="b">
        <v>1</v>
      </c>
      <c r="Q30" s="143">
        <v>50</v>
      </c>
      <c r="R30" s="143">
        <v>1</v>
      </c>
      <c r="S30" s="145">
        <f>IFERROR(_xll.qlRateHelperEarliestDate(M30,Trigger),"--")</f>
        <v>42356</v>
      </c>
      <c r="T30" s="145">
        <f>IFERROR(_xll.qlRateHelperPillarDate(M30,Trigger),"--")</f>
        <v>43087</v>
      </c>
      <c r="V30" s="4" t="str">
        <f t="shared" si="1"/>
        <v/>
      </c>
      <c r="W30" s="4" t="e">
        <v>#NUM!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#VALUE!</v>
      </c>
    </row>
    <row r="31" spans="1:38" ht="11.25" customHeight="1" x14ac:dyDescent="0.2">
      <c r="A31" s="62" t="s">
        <v>26</v>
      </c>
      <c r="B31" s="63" t="s">
        <v>50</v>
      </c>
      <c r="C31" s="64" t="s">
        <v>6</v>
      </c>
      <c r="D31" s="64" t="s">
        <v>8</v>
      </c>
      <c r="E31" s="64" t="s">
        <v>7</v>
      </c>
      <c r="F31" s="64" t="s">
        <v>116</v>
      </c>
      <c r="G31" s="64" t="str">
        <f t="shared" si="14"/>
        <v>Sekibor3M</v>
      </c>
      <c r="H31" s="62" t="str">
        <f t="shared" si="15"/>
        <v>SEKAB3S15M_Quote</v>
      </c>
      <c r="I31" s="132">
        <v>0</v>
      </c>
      <c r="J31" s="67"/>
      <c r="K31" s="51"/>
      <c r="L31" s="74" t="str">
        <f t="shared" si="12"/>
        <v>Sw</v>
      </c>
      <c r="M31" s="143" t="str">
        <f t="shared" si="13"/>
        <v>--</v>
      </c>
      <c r="N31" s="151" t="str">
        <f>IFERROR(_xll.qlRateHelperQuoteName(M31,Trigger),"--")</f>
        <v>--</v>
      </c>
      <c r="O31" s="144" t="str">
        <f>IFERROR(_xll.qlRateHelperQuoteValue($M31,Trigger),"--")</f>
        <v>--</v>
      </c>
      <c r="P31" s="143" t="b">
        <v>0</v>
      </c>
      <c r="Q31" s="143">
        <v>50</v>
      </c>
      <c r="R31" s="143">
        <v>1</v>
      </c>
      <c r="S31" s="145" t="str">
        <f>IFERROR(_xll.qlRateHelperEarliestDate(M31,Trigger),"--")</f>
        <v>--</v>
      </c>
      <c r="T31" s="145" t="str">
        <f>IFERROR(_xll.qlRateHelperPillarDate(M31,Trigger),"--")</f>
        <v>--</v>
      </c>
      <c r="V31" s="4" t="str">
        <f t="shared" si="1"/>
        <v/>
      </c>
      <c r="W31" s="4" t="e">
        <v>#NUM!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#VALUE!</v>
      </c>
    </row>
    <row r="32" spans="1:38" ht="11.25" customHeight="1" x14ac:dyDescent="0.2">
      <c r="A32" s="62" t="s">
        <v>26</v>
      </c>
      <c r="B32" s="63" t="s">
        <v>51</v>
      </c>
      <c r="C32" s="64" t="s">
        <v>6</v>
      </c>
      <c r="D32" s="64" t="s">
        <v>8</v>
      </c>
      <c r="E32" s="64" t="s">
        <v>7</v>
      </c>
      <c r="F32" s="64" t="s">
        <v>116</v>
      </c>
      <c r="G32" s="64" t="str">
        <f t="shared" si="14"/>
        <v>Sekibor3M</v>
      </c>
      <c r="H32" s="62" t="str">
        <f t="shared" si="15"/>
        <v>SEKAB3S18M_Quote</v>
      </c>
      <c r="I32" s="132">
        <v>0</v>
      </c>
      <c r="J32" s="67"/>
      <c r="K32" s="51"/>
      <c r="L32" s="74" t="str">
        <f t="shared" si="12"/>
        <v>Sw</v>
      </c>
      <c r="M32" s="143" t="str">
        <f t="shared" si="13"/>
        <v>--</v>
      </c>
      <c r="N32" s="151" t="str">
        <f>IFERROR(_xll.qlRateHelperQuoteName(M32,Trigger),"--")</f>
        <v>--</v>
      </c>
      <c r="O32" s="144" t="str">
        <f>IFERROR(_xll.qlRateHelperQuoteValue($M32,Trigger),"--")</f>
        <v>--</v>
      </c>
      <c r="P32" s="143" t="b">
        <v>0</v>
      </c>
      <c r="Q32" s="143">
        <v>50</v>
      </c>
      <c r="R32" s="143">
        <v>1</v>
      </c>
      <c r="S32" s="145" t="str">
        <f>IFERROR(_xll.qlRateHelperEarliestDate(M32,Trigger),"--")</f>
        <v>--</v>
      </c>
      <c r="T32" s="145" t="str">
        <f>IFERROR(_xll.qlRateHelperPillarDate(M32,Trigger),"--")</f>
        <v>--</v>
      </c>
      <c r="V32" s="4" t="str">
        <f t="shared" si="1"/>
        <v/>
      </c>
      <c r="W32" s="4" t="e">
        <v>#NUM!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#VALUE!</v>
      </c>
    </row>
    <row r="33" spans="1:29" ht="11.25" customHeight="1" x14ac:dyDescent="0.2">
      <c r="A33" s="62" t="s">
        <v>26</v>
      </c>
      <c r="B33" s="63" t="s">
        <v>52</v>
      </c>
      <c r="C33" s="64" t="s">
        <v>6</v>
      </c>
      <c r="D33" s="64" t="s">
        <v>8</v>
      </c>
      <c r="E33" s="64" t="s">
        <v>7</v>
      </c>
      <c r="F33" s="64" t="s">
        <v>116</v>
      </c>
      <c r="G33" s="64" t="str">
        <f t="shared" si="14"/>
        <v>Sekibor3M</v>
      </c>
      <c r="H33" s="62" t="str">
        <f t="shared" si="15"/>
        <v>SEKAB3S21M_Quote</v>
      </c>
      <c r="I33" s="132">
        <v>0</v>
      </c>
      <c r="J33" s="67"/>
      <c r="K33" s="51"/>
      <c r="L33" s="74" t="str">
        <f t="shared" si="12"/>
        <v>Sw</v>
      </c>
      <c r="M33" s="143" t="str">
        <f t="shared" si="13"/>
        <v>--</v>
      </c>
      <c r="N33" s="151" t="str">
        <f>IFERROR(_xll.qlRateHelperQuoteName(M33,Trigger),"--")</f>
        <v>--</v>
      </c>
      <c r="O33" s="144" t="str">
        <f>IFERROR(_xll.qlRateHelperQuoteValue($M33,Trigger),"--")</f>
        <v>--</v>
      </c>
      <c r="P33" s="143" t="b">
        <v>0</v>
      </c>
      <c r="Q33" s="143">
        <v>50</v>
      </c>
      <c r="R33" s="143">
        <v>1</v>
      </c>
      <c r="S33" s="145" t="str">
        <f>IFERROR(_xll.qlRateHelperEarliestDate(M33,Trigger),"--")</f>
        <v>--</v>
      </c>
      <c r="T33" s="145" t="str">
        <f>IFERROR(_xll.qlRateHelperPillarDate(M33,Trigger),"--")</f>
        <v>--</v>
      </c>
      <c r="V33" s="4" t="str">
        <f t="shared" si="1"/>
        <v/>
      </c>
      <c r="W33" s="4" t="e">
        <v>#NUM!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#VALUE!</v>
      </c>
    </row>
    <row r="34" spans="1:29" ht="11.25" customHeight="1" x14ac:dyDescent="0.2">
      <c r="A34" s="62" t="s">
        <v>26</v>
      </c>
      <c r="B34" s="63" t="s">
        <v>53</v>
      </c>
      <c r="C34" s="64" t="s">
        <v>6</v>
      </c>
      <c r="D34" s="64" t="s">
        <v>8</v>
      </c>
      <c r="E34" s="64" t="s">
        <v>7</v>
      </c>
      <c r="F34" s="64" t="s">
        <v>116</v>
      </c>
      <c r="G34" s="64" t="str">
        <f t="shared" si="14"/>
        <v>Sekibor3M</v>
      </c>
      <c r="H34" s="62" t="str">
        <f t="shared" si="15"/>
        <v>SEKAB3S2Y_Quote</v>
      </c>
      <c r="I34" s="132">
        <v>0</v>
      </c>
      <c r="J34" s="67" t="str">
        <f>_xll.qlSwapRateHelper2(,H34,2,B34,Calendar,D34,E34,F34,G34,I34,C34,Discounting,PillarDate,,Permanent,Trigger,ObjectOverwrite)</f>
        <v>obj_0010f#0000</v>
      </c>
      <c r="K34" s="51"/>
      <c r="L34" s="74" t="str">
        <f t="shared" si="12"/>
        <v>Sw</v>
      </c>
      <c r="M34" s="143" t="str">
        <f t="shared" si="13"/>
        <v>obj_00111#0000</v>
      </c>
      <c r="N34" s="151" t="str">
        <f>IFERROR(_xll.qlRateHelperQuoteName(M34,Trigger),"--")</f>
        <v>SEKAB3S3Y_Quote</v>
      </c>
      <c r="O34" s="144">
        <f>IFERROR(_xll.qlRateHelperQuoteValue($M34,Trigger),"--")</f>
        <v>-1.075E-3</v>
      </c>
      <c r="P34" s="143" t="b">
        <v>1</v>
      </c>
      <c r="Q34" s="143">
        <v>50</v>
      </c>
      <c r="R34" s="143">
        <v>1</v>
      </c>
      <c r="S34" s="145">
        <f>IFERROR(_xll.qlRateHelperEarliestDate(M34,Trigger),"--")</f>
        <v>42356</v>
      </c>
      <c r="T34" s="145">
        <f>IFERROR(_xll.qlRateHelperPillarDate(M34,Trigger),"--")</f>
        <v>43452</v>
      </c>
      <c r="V34" s="4" t="str">
        <f t="shared" si="1"/>
        <v/>
      </c>
      <c r="W34" s="4" t="e">
        <v>#NUM!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#VALUE!</v>
      </c>
    </row>
    <row r="35" spans="1:29" ht="11.25" customHeight="1" x14ac:dyDescent="0.2">
      <c r="A35" s="62" t="s">
        <v>26</v>
      </c>
      <c r="B35" s="63" t="s">
        <v>130</v>
      </c>
      <c r="C35" s="64" t="s">
        <v>6</v>
      </c>
      <c r="D35" s="64" t="s">
        <v>8</v>
      </c>
      <c r="E35" s="64" t="s">
        <v>7</v>
      </c>
      <c r="F35" s="64" t="s">
        <v>116</v>
      </c>
      <c r="G35" s="64" t="str">
        <f t="shared" si="14"/>
        <v>Sekibor3M</v>
      </c>
      <c r="H35" s="62" t="str">
        <f t="shared" si="15"/>
        <v>SEKAB3S27M_Quote</v>
      </c>
      <c r="I35" s="132">
        <v>0</v>
      </c>
      <c r="J35" s="67"/>
      <c r="K35" s="51"/>
      <c r="L35" s="74" t="str">
        <f t="shared" si="12"/>
        <v>Sw</v>
      </c>
      <c r="M35" s="143" t="str">
        <f t="shared" si="13"/>
        <v>obj_00117#0000</v>
      </c>
      <c r="N35" s="151" t="str">
        <f>IFERROR(_xll.qlRateHelperQuoteName(M35,Trigger),"--")</f>
        <v>SEKAB3S4Y_Quote</v>
      </c>
      <c r="O35" s="144">
        <f>IFERROR(_xll.qlRateHelperQuoteValue($M35,Trigger),"--")</f>
        <v>1.25E-3</v>
      </c>
      <c r="P35" s="143" t="b">
        <v>1</v>
      </c>
      <c r="Q35" s="143">
        <v>50</v>
      </c>
      <c r="R35" s="143">
        <v>1</v>
      </c>
      <c r="S35" s="145">
        <f>IFERROR(_xll.qlRateHelperEarliestDate(M35,Trigger),"--")</f>
        <v>42356</v>
      </c>
      <c r="T35" s="145">
        <f>IFERROR(_xll.qlRateHelperPillarDate(M35,Trigger),"--")</f>
        <v>43817</v>
      </c>
      <c r="V35" s="4" t="str">
        <f t="shared" ref="V35:V51" si="16">IFERROR(INDEX($L$3:$L$51,MATCH(X35,$N$3:$N$51,0),1),"")</f>
        <v/>
      </c>
      <c r="W35" s="4" t="e">
        <v>#NUM!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#VALUE!</v>
      </c>
    </row>
    <row r="36" spans="1:29" ht="11.25" customHeight="1" x14ac:dyDescent="0.2">
      <c r="A36" s="62" t="s">
        <v>26</v>
      </c>
      <c r="B36" s="63" t="s">
        <v>131</v>
      </c>
      <c r="C36" s="64" t="s">
        <v>6</v>
      </c>
      <c r="D36" s="64" t="s">
        <v>8</v>
      </c>
      <c r="E36" s="64" t="s">
        <v>7</v>
      </c>
      <c r="F36" s="64" t="s">
        <v>116</v>
      </c>
      <c r="G36" s="64" t="str">
        <f t="shared" si="14"/>
        <v>Sekibor3M</v>
      </c>
      <c r="H36" s="62" t="str">
        <f t="shared" si="15"/>
        <v>SEKAB3S30M_Quote</v>
      </c>
      <c r="I36" s="132">
        <v>0</v>
      </c>
      <c r="J36" s="67"/>
      <c r="K36" s="51"/>
      <c r="L36" s="74" t="str">
        <f t="shared" si="12"/>
        <v>Sw</v>
      </c>
      <c r="M36" s="143" t="str">
        <f t="shared" si="13"/>
        <v>obj_00118#0000</v>
      </c>
      <c r="N36" s="151" t="str">
        <f>IFERROR(_xll.qlRateHelperQuoteName(M36,Trigger),"--")</f>
        <v>SEKAB3S5Y_Quote</v>
      </c>
      <c r="O36" s="144">
        <f>IFERROR(_xll.qlRateHelperQuoteValue($M36,Trigger),"--")</f>
        <v>3.7750000000000001E-3</v>
      </c>
      <c r="P36" s="143" t="b">
        <v>1</v>
      </c>
      <c r="Q36" s="143">
        <v>50</v>
      </c>
      <c r="R36" s="143">
        <v>1</v>
      </c>
      <c r="S36" s="145">
        <f>IFERROR(_xll.qlRateHelperEarliestDate(M36,Trigger),"--")</f>
        <v>42356</v>
      </c>
      <c r="T36" s="145">
        <f>IFERROR(_xll.qlRateHelperPillarDate(M36,Trigger),"--")</f>
        <v>44183</v>
      </c>
      <c r="V36" s="4" t="str">
        <f t="shared" si="16"/>
        <v/>
      </c>
      <c r="W36" s="4" t="e">
        <v>#NUM!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#VALUE!</v>
      </c>
    </row>
    <row r="37" spans="1:29" ht="11.25" customHeight="1" x14ac:dyDescent="0.2">
      <c r="A37" s="62" t="s">
        <v>26</v>
      </c>
      <c r="B37" s="63" t="s">
        <v>132</v>
      </c>
      <c r="C37" s="64" t="s">
        <v>6</v>
      </c>
      <c r="D37" s="64" t="s">
        <v>8</v>
      </c>
      <c r="E37" s="64" t="s">
        <v>7</v>
      </c>
      <c r="F37" s="64" t="s">
        <v>116</v>
      </c>
      <c r="G37" s="64" t="str">
        <f t="shared" si="14"/>
        <v>Sekibor3M</v>
      </c>
      <c r="H37" s="62" t="str">
        <f t="shared" si="15"/>
        <v>SEKAB3S33M_Quote</v>
      </c>
      <c r="I37" s="132">
        <v>0</v>
      </c>
      <c r="J37" s="67"/>
      <c r="K37" s="51"/>
      <c r="L37" s="74" t="str">
        <f t="shared" si="12"/>
        <v>Sw</v>
      </c>
      <c r="M37" s="143" t="str">
        <f t="shared" si="13"/>
        <v>obj_00110#0000</v>
      </c>
      <c r="N37" s="151" t="str">
        <f>IFERROR(_xll.qlRateHelperQuoteName(M37,Trigger),"--")</f>
        <v>SEKAB3S6Y_Quote</v>
      </c>
      <c r="O37" s="144">
        <f>IFERROR(_xll.qlRateHelperQuoteValue($M37,Trigger),"--")</f>
        <v>6.1500000000000001E-3</v>
      </c>
      <c r="P37" s="143" t="b">
        <v>1</v>
      </c>
      <c r="Q37" s="143">
        <v>50</v>
      </c>
      <c r="R37" s="143">
        <v>1</v>
      </c>
      <c r="S37" s="145">
        <f>IFERROR(_xll.qlRateHelperEarliestDate(M37,Trigger),"--")</f>
        <v>42356</v>
      </c>
      <c r="T37" s="145">
        <f>IFERROR(_xll.qlRateHelperPillarDate(M37,Trigger),"--")</f>
        <v>44550</v>
      </c>
      <c r="V37" s="4" t="str">
        <f t="shared" si="16"/>
        <v/>
      </c>
      <c r="W37" s="4" t="e">
        <v>#NUM!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#VALUE!</v>
      </c>
    </row>
    <row r="38" spans="1:29" ht="11.25" customHeight="1" x14ac:dyDescent="0.2">
      <c r="A38" s="62" t="s">
        <v>26</v>
      </c>
      <c r="B38" s="63" t="s">
        <v>54</v>
      </c>
      <c r="C38" s="64" t="s">
        <v>6</v>
      </c>
      <c r="D38" s="64" t="s">
        <v>8</v>
      </c>
      <c r="E38" s="64" t="s">
        <v>7</v>
      </c>
      <c r="F38" s="64" t="s">
        <v>116</v>
      </c>
      <c r="G38" s="64" t="str">
        <f t="shared" si="14"/>
        <v>Sekibor3M</v>
      </c>
      <c r="H38" s="62" t="str">
        <f t="shared" si="15"/>
        <v>SEKAB3S3Y_Quote</v>
      </c>
      <c r="I38" s="132">
        <v>0</v>
      </c>
      <c r="J38" s="67" t="str">
        <f>_xll.qlSwapRateHelper2(,H38,2,B38,Calendar,D38,E38,F38,G38,I38,C38,Discounting,PillarDate,,Permanent,Trigger,ObjectOverwrite)</f>
        <v>obj_00111#0000</v>
      </c>
      <c r="K38" s="51"/>
      <c r="L38" s="74" t="str">
        <f t="shared" si="12"/>
        <v>Sw</v>
      </c>
      <c r="M38" s="143" t="str">
        <f t="shared" si="13"/>
        <v>obj_00115#0000</v>
      </c>
      <c r="N38" s="151" t="str">
        <f>IFERROR(_xll.qlRateHelperQuoteName(M38,Trigger),"--")</f>
        <v>SEKAB3S7Y_Quote</v>
      </c>
      <c r="O38" s="144">
        <f>IFERROR(_xll.qlRateHelperQuoteValue($M38,Trigger),"--")</f>
        <v>8.2500000000000004E-3</v>
      </c>
      <c r="P38" s="143" t="b">
        <v>1</v>
      </c>
      <c r="Q38" s="143">
        <v>50</v>
      </c>
      <c r="R38" s="143">
        <v>1</v>
      </c>
      <c r="S38" s="145">
        <f>IFERROR(_xll.qlRateHelperEarliestDate(M38,Trigger),"--")</f>
        <v>42356</v>
      </c>
      <c r="T38" s="145">
        <f>IFERROR(_xll.qlRateHelperPillarDate(M38,Trigger),"--")</f>
        <v>44914</v>
      </c>
      <c r="V38" s="4" t="str">
        <f t="shared" si="16"/>
        <v/>
      </c>
      <c r="W38" s="4" t="e">
        <v>#NUM!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#VALUE!</v>
      </c>
    </row>
    <row r="39" spans="1:29" ht="11.25" customHeight="1" x14ac:dyDescent="0.2">
      <c r="A39" s="62" t="s">
        <v>26</v>
      </c>
      <c r="B39" s="63" t="s">
        <v>55</v>
      </c>
      <c r="C39" s="64" t="s">
        <v>6</v>
      </c>
      <c r="D39" s="64" t="s">
        <v>8</v>
      </c>
      <c r="E39" s="64" t="s">
        <v>7</v>
      </c>
      <c r="F39" s="64" t="s">
        <v>116</v>
      </c>
      <c r="G39" s="64" t="str">
        <f t="shared" si="14"/>
        <v>Sekibor3M</v>
      </c>
      <c r="H39" s="62" t="str">
        <f t="shared" si="15"/>
        <v>SEKAB3S4Y_Quote</v>
      </c>
      <c r="I39" s="132">
        <v>0</v>
      </c>
      <c r="J39" s="67" t="str">
        <f>_xll.qlSwapRateHelper2(,H39,2,B39,Calendar,D39,E39,F39,G39,I39,C39,Discounting,PillarDate,,Permanent,Trigger,ObjectOverwrite)</f>
        <v>obj_00117#0000</v>
      </c>
      <c r="K39" s="51"/>
      <c r="L39" s="74" t="str">
        <f t="shared" si="12"/>
        <v>Sw</v>
      </c>
      <c r="M39" s="143" t="str">
        <f t="shared" si="13"/>
        <v>obj_00119#0000</v>
      </c>
      <c r="N39" s="151" t="str">
        <f>IFERROR(_xll.qlRateHelperQuoteName(M39,Trigger),"--")</f>
        <v>SEKAB3S8Y_Quote</v>
      </c>
      <c r="O39" s="144">
        <f>IFERROR(_xll.qlRateHelperQuoteValue($M39,Trigger),"--")</f>
        <v>1.0050000000000002E-2</v>
      </c>
      <c r="P39" s="143" t="b">
        <v>1</v>
      </c>
      <c r="Q39" s="143">
        <v>50</v>
      </c>
      <c r="R39" s="143">
        <v>1</v>
      </c>
      <c r="S39" s="145">
        <f>IFERROR(_xll.qlRateHelperEarliestDate(M39,Trigger),"--")</f>
        <v>42356</v>
      </c>
      <c r="T39" s="145">
        <f>IFERROR(_xll.qlRateHelperPillarDate(M39,Trigger),"--")</f>
        <v>45278</v>
      </c>
      <c r="V39" s="4" t="str">
        <f t="shared" si="16"/>
        <v/>
      </c>
      <c r="W39" s="4" t="e">
        <v>#NUM!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#VALUE!</v>
      </c>
    </row>
    <row r="40" spans="1:29" ht="11.25" customHeight="1" x14ac:dyDescent="0.2">
      <c r="A40" s="62" t="s">
        <v>26</v>
      </c>
      <c r="B40" s="63" t="s">
        <v>56</v>
      </c>
      <c r="C40" s="64" t="s">
        <v>6</v>
      </c>
      <c r="D40" s="64" t="s">
        <v>8</v>
      </c>
      <c r="E40" s="64" t="s">
        <v>7</v>
      </c>
      <c r="F40" s="64" t="s">
        <v>116</v>
      </c>
      <c r="G40" s="64" t="str">
        <f t="shared" si="14"/>
        <v>Sekibor3M</v>
      </c>
      <c r="H40" s="62" t="str">
        <f t="shared" si="15"/>
        <v>SEKAB3S5Y_Quote</v>
      </c>
      <c r="I40" s="132">
        <v>0</v>
      </c>
      <c r="J40" s="67" t="str">
        <f>_xll.qlSwapRateHelper2(,H40,2,B40,Calendar,D40,E40,F40,G40,I40,C40,Discounting,PillarDate,,Permanent,Trigger,ObjectOverwrite)</f>
        <v>obj_00118#0000</v>
      </c>
      <c r="K40" s="51"/>
      <c r="L40" s="74" t="str">
        <f t="shared" si="12"/>
        <v>Sw</v>
      </c>
      <c r="M40" s="143" t="str">
        <f t="shared" si="13"/>
        <v>obj_0010d#0000</v>
      </c>
      <c r="N40" s="151" t="str">
        <f>IFERROR(_xll.qlRateHelperQuoteName(M40,Trigger),"--")</f>
        <v>SEKAB3S9Y_Quote</v>
      </c>
      <c r="O40" s="144">
        <f>IFERROR(_xll.qlRateHelperQuoteValue($M40,Trigger),"--")</f>
        <v>1.1650000000000001E-2</v>
      </c>
      <c r="P40" s="143" t="b">
        <v>1</v>
      </c>
      <c r="Q40" s="143">
        <v>50</v>
      </c>
      <c r="R40" s="143">
        <v>1</v>
      </c>
      <c r="S40" s="145">
        <f>IFERROR(_xll.qlRateHelperEarliestDate(M40,Trigger),"--")</f>
        <v>42356</v>
      </c>
      <c r="T40" s="145">
        <f>IFERROR(_xll.qlRateHelperPillarDate(M40,Trigger),"--")</f>
        <v>45644</v>
      </c>
      <c r="V40" s="4" t="str">
        <f t="shared" si="16"/>
        <v/>
      </c>
      <c r="W40" s="4" t="e">
        <v>#NUM!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#VALUE!</v>
      </c>
    </row>
    <row r="41" spans="1:29" ht="11.25" customHeight="1" x14ac:dyDescent="0.2">
      <c r="A41" s="62" t="s">
        <v>26</v>
      </c>
      <c r="B41" s="63" t="s">
        <v>57</v>
      </c>
      <c r="C41" s="64" t="s">
        <v>6</v>
      </c>
      <c r="D41" s="64" t="s">
        <v>8</v>
      </c>
      <c r="E41" s="64" t="s">
        <v>7</v>
      </c>
      <c r="F41" s="64" t="s">
        <v>116</v>
      </c>
      <c r="G41" s="64" t="str">
        <f t="shared" si="14"/>
        <v>Sekibor3M</v>
      </c>
      <c r="H41" s="62" t="str">
        <f t="shared" si="15"/>
        <v>SEKAB3S6Y_Quote</v>
      </c>
      <c r="I41" s="132">
        <v>0</v>
      </c>
      <c r="J41" s="67" t="str">
        <f>_xll.qlSwapRateHelper2(,H41,2,B41,Calendar,D41,E41,F41,G41,I41,C41,Discounting,PillarDate,,Permanent,Trigger,ObjectOverwrite)</f>
        <v>obj_00110#0000</v>
      </c>
      <c r="L41" s="74" t="str">
        <f t="shared" si="12"/>
        <v>Sw</v>
      </c>
      <c r="M41" s="143" t="str">
        <f t="shared" si="13"/>
        <v>obj_0010e#0000</v>
      </c>
      <c r="N41" s="151" t="str">
        <f>IFERROR(_xll.qlRateHelperQuoteName(M41,Trigger),"--")</f>
        <v>SEKAB3S10Y_Quote</v>
      </c>
      <c r="O41" s="144">
        <f>IFERROR(_xll.qlRateHelperQuoteValue($M41,Trigger),"--")</f>
        <v>1.3050000000000001E-2</v>
      </c>
      <c r="P41" s="143" t="b">
        <v>1</v>
      </c>
      <c r="Q41" s="143">
        <v>50</v>
      </c>
      <c r="R41" s="143">
        <v>1</v>
      </c>
      <c r="S41" s="145">
        <f>IFERROR(_xll.qlRateHelperEarliestDate(M41,Trigger),"--")</f>
        <v>42356</v>
      </c>
      <c r="T41" s="145">
        <f>IFERROR(_xll.qlRateHelperPillarDate(M41,Trigger),"--")</f>
        <v>46009</v>
      </c>
      <c r="V41" s="4" t="str">
        <f t="shared" si="16"/>
        <v/>
      </c>
      <c r="W41" s="4" t="e">
        <v>#NUM!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#VALUE!</v>
      </c>
    </row>
    <row r="42" spans="1:29" ht="11.25" customHeight="1" x14ac:dyDescent="0.2">
      <c r="A42" s="62" t="s">
        <v>26</v>
      </c>
      <c r="B42" s="63" t="s">
        <v>58</v>
      </c>
      <c r="C42" s="64" t="s">
        <v>6</v>
      </c>
      <c r="D42" s="64" t="s">
        <v>8</v>
      </c>
      <c r="E42" s="64" t="s">
        <v>7</v>
      </c>
      <c r="F42" s="64" t="s">
        <v>116</v>
      </c>
      <c r="G42" s="64" t="str">
        <f t="shared" si="14"/>
        <v>Sekibor3M</v>
      </c>
      <c r="H42" s="62" t="str">
        <f t="shared" si="15"/>
        <v>SEKAB3S7Y_Quote</v>
      </c>
      <c r="I42" s="132">
        <v>0</v>
      </c>
      <c r="J42" s="67" t="str">
        <f>_xll.qlSwapRateHelper2(,H42,2,B42,Calendar,D42,E42,F42,G42,I42,C42,Discounting,PillarDate,,Permanent,Trigger,ObjectOverwrite)</f>
        <v>obj_00115#0000</v>
      </c>
      <c r="L42" s="74" t="str">
        <f t="shared" si="12"/>
        <v>Sw</v>
      </c>
      <c r="M42" s="143" t="str">
        <f t="shared" si="13"/>
        <v>obj_00114#0000</v>
      </c>
      <c r="N42" s="151" t="str">
        <f>IFERROR(_xll.qlRateHelperQuoteName(M42,Trigger),"--")</f>
        <v>SEKAB3S12Y_Quote</v>
      </c>
      <c r="O42" s="144">
        <f>IFERROR(_xll.qlRateHelperQuoteValue($M42,Trigger),"--")</f>
        <v>1.5375000000000002E-2</v>
      </c>
      <c r="P42" s="143" t="b">
        <v>1</v>
      </c>
      <c r="Q42" s="143">
        <v>50</v>
      </c>
      <c r="R42" s="143">
        <v>1</v>
      </c>
      <c r="S42" s="145">
        <f>IFERROR(_xll.qlRateHelperEarliestDate(M42,Trigger),"--")</f>
        <v>42356</v>
      </c>
      <c r="T42" s="145">
        <f>IFERROR(_xll.qlRateHelperPillarDate(M42,Trigger),"--")</f>
        <v>46741</v>
      </c>
      <c r="V42" s="4" t="str">
        <f t="shared" si="16"/>
        <v/>
      </c>
      <c r="W42" s="4" t="e">
        <v>#NUM!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#VALUE!</v>
      </c>
    </row>
    <row r="43" spans="1:29" ht="11.25" customHeight="1" x14ac:dyDescent="0.2">
      <c r="A43" s="62" t="s">
        <v>26</v>
      </c>
      <c r="B43" s="63" t="s">
        <v>59</v>
      </c>
      <c r="C43" s="64" t="s">
        <v>6</v>
      </c>
      <c r="D43" s="64" t="s">
        <v>8</v>
      </c>
      <c r="E43" s="64" t="s">
        <v>7</v>
      </c>
      <c r="F43" s="64" t="s">
        <v>116</v>
      </c>
      <c r="G43" s="64" t="str">
        <f t="shared" si="14"/>
        <v>Sekibor3M</v>
      </c>
      <c r="H43" s="62" t="str">
        <f t="shared" si="15"/>
        <v>SEKAB3S8Y_Quote</v>
      </c>
      <c r="I43" s="132">
        <v>0</v>
      </c>
      <c r="J43" s="67" t="str">
        <f>_xll.qlSwapRateHelper2(,H43,2,B43,Calendar,D43,E43,F43,G43,I43,C43,Discounting,PillarDate,,Permanent,Trigger,ObjectOverwrite)</f>
        <v>obj_00119#0000</v>
      </c>
      <c r="L43" s="74" t="str">
        <f t="shared" si="12"/>
        <v>Sw</v>
      </c>
      <c r="M43" s="143" t="str">
        <f t="shared" si="13"/>
        <v>obj_0011b#0000</v>
      </c>
      <c r="N43" s="151" t="str">
        <f>IFERROR(_xll.qlRateHelperQuoteName(M43,Trigger),"--")</f>
        <v>SEKAB3S15Y_Quote</v>
      </c>
      <c r="O43" s="144">
        <f>IFERROR(_xll.qlRateHelperQuoteValue($M43,Trigger),"--")</f>
        <v>1.7950000000000001E-2</v>
      </c>
      <c r="P43" s="143" t="b">
        <v>1</v>
      </c>
      <c r="Q43" s="143">
        <v>50</v>
      </c>
      <c r="R43" s="143">
        <v>1</v>
      </c>
      <c r="S43" s="145">
        <f>IFERROR(_xll.qlRateHelperEarliestDate(M43,Trigger),"--")</f>
        <v>42356</v>
      </c>
      <c r="T43" s="145">
        <f>IFERROR(_xll.qlRateHelperPillarDate(M43,Trigger),"--")</f>
        <v>47835</v>
      </c>
      <c r="V43" s="4" t="str">
        <f t="shared" si="16"/>
        <v/>
      </c>
      <c r="W43" s="4" t="e">
        <v>#NUM!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#VALUE!</v>
      </c>
    </row>
    <row r="44" spans="1:29" ht="11.25" customHeight="1" x14ac:dyDescent="0.2">
      <c r="A44" s="62" t="s">
        <v>26</v>
      </c>
      <c r="B44" s="63" t="s">
        <v>60</v>
      </c>
      <c r="C44" s="64" t="s">
        <v>6</v>
      </c>
      <c r="D44" s="64" t="s">
        <v>8</v>
      </c>
      <c r="E44" s="64" t="s">
        <v>7</v>
      </c>
      <c r="F44" s="64" t="s">
        <v>116</v>
      </c>
      <c r="G44" s="64" t="str">
        <f t="shared" si="14"/>
        <v>Sekibor3M</v>
      </c>
      <c r="H44" s="62" t="str">
        <f t="shared" si="15"/>
        <v>SEKAB3S9Y_Quote</v>
      </c>
      <c r="I44" s="132">
        <v>0</v>
      </c>
      <c r="J44" s="67" t="str">
        <f>_xll.qlSwapRateHelper2(,H44,2,B44,Calendar,D44,E44,F44,G44,I44,C44,Discounting,PillarDate,,Permanent,Trigger,ObjectOverwrite)</f>
        <v>obj_0010d#0000</v>
      </c>
      <c r="L44" s="74" t="str">
        <f t="shared" si="12"/>
        <v>Sw</v>
      </c>
      <c r="M44" s="143" t="str">
        <f t="shared" si="13"/>
        <v>obj_0011a#0000</v>
      </c>
      <c r="N44" s="151" t="str">
        <f>IFERROR(_xll.qlRateHelperQuoteName(M44,Trigger),"--")</f>
        <v>SEKAB3S20Y_Quote</v>
      </c>
      <c r="O44" s="144">
        <f>IFERROR(_xll.qlRateHelperQuoteValue($M44,Trigger),"--")</f>
        <v>2.07E-2</v>
      </c>
      <c r="P44" s="143" t="b">
        <v>1</v>
      </c>
      <c r="Q44" s="143">
        <v>50</v>
      </c>
      <c r="R44" s="143">
        <v>1</v>
      </c>
      <c r="S44" s="145">
        <f>IFERROR(_xll.qlRateHelperEarliestDate(M44,Trigger),"--")</f>
        <v>42356</v>
      </c>
      <c r="T44" s="145">
        <f>IFERROR(_xll.qlRateHelperPillarDate(M44,Trigger),"--")</f>
        <v>49661</v>
      </c>
      <c r="V44" s="4" t="str">
        <f t="shared" si="16"/>
        <v/>
      </c>
      <c r="W44" s="4" t="e">
        <v>#NUM!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#VALUE!</v>
      </c>
    </row>
    <row r="45" spans="1:29" ht="11.25" customHeight="1" x14ac:dyDescent="0.2">
      <c r="A45" s="62" t="s">
        <v>26</v>
      </c>
      <c r="B45" s="63" t="s">
        <v>61</v>
      </c>
      <c r="C45" s="64" t="s">
        <v>6</v>
      </c>
      <c r="D45" s="64" t="s">
        <v>8</v>
      </c>
      <c r="E45" s="64" t="s">
        <v>7</v>
      </c>
      <c r="F45" s="64" t="s">
        <v>116</v>
      </c>
      <c r="G45" s="64" t="str">
        <f t="shared" si="14"/>
        <v>Sekibor3M</v>
      </c>
      <c r="H45" s="62" t="str">
        <f t="shared" si="15"/>
        <v>SEKAB3S10Y_Quote</v>
      </c>
      <c r="I45" s="132">
        <v>0</v>
      </c>
      <c r="J45" s="67" t="str">
        <f>_xll.qlSwapRateHelper2(,H45,2,B45,Calendar,D45,E45,F45,G45,I45,C45,Discounting,PillarDate,,Permanent,Trigger,ObjectOverwrite)</f>
        <v>obj_0010e#0000</v>
      </c>
      <c r="L45" s="74" t="str">
        <f t="shared" si="12"/>
        <v>Sw</v>
      </c>
      <c r="M45" s="143" t="str">
        <f t="shared" si="13"/>
        <v>obj_00112#0000</v>
      </c>
      <c r="N45" s="151" t="str">
        <f>IFERROR(_xll.qlRateHelperQuoteName(M45,Trigger),"--")</f>
        <v>SEKAB3S25Y_Quote</v>
      </c>
      <c r="O45" s="144">
        <f>IFERROR(_xll.qlRateHelperQuoteValue($M45,Trigger),"--")</f>
        <v>2.1949999999999997E-2</v>
      </c>
      <c r="P45" s="143" t="b">
        <v>1</v>
      </c>
      <c r="Q45" s="143">
        <v>50</v>
      </c>
      <c r="R45" s="143">
        <v>1</v>
      </c>
      <c r="S45" s="145">
        <f>IFERROR(_xll.qlRateHelperEarliestDate(M45,Trigger),"--")</f>
        <v>42356</v>
      </c>
      <c r="T45" s="145">
        <f>IFERROR(_xll.qlRateHelperPillarDate(M45,Trigger),"--")</f>
        <v>51488</v>
      </c>
      <c r="V45" s="4" t="str">
        <f t="shared" si="16"/>
        <v/>
      </c>
      <c r="W45" s="4" t="e">
        <v>#NUM!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#VALUE!</v>
      </c>
    </row>
    <row r="46" spans="1:29" ht="11.25" customHeight="1" x14ac:dyDescent="0.2">
      <c r="A46" s="62" t="s">
        <v>26</v>
      </c>
      <c r="B46" s="63" t="s">
        <v>62</v>
      </c>
      <c r="C46" s="64" t="s">
        <v>6</v>
      </c>
      <c r="D46" s="64" t="s">
        <v>8</v>
      </c>
      <c r="E46" s="64" t="s">
        <v>7</v>
      </c>
      <c r="F46" s="64" t="s">
        <v>116</v>
      </c>
      <c r="G46" s="64" t="str">
        <f t="shared" si="14"/>
        <v>Sekibor3M</v>
      </c>
      <c r="H46" s="62" t="str">
        <f t="shared" si="15"/>
        <v>SEKAB3S12Y_Quote</v>
      </c>
      <c r="I46" s="132">
        <v>0</v>
      </c>
      <c r="J46" s="67" t="str">
        <f>_xll.qlSwapRateHelper2(,H46,2,B46,Calendar,D46,E46,F46,G46,I46,C46,Discounting,PillarDate,,Permanent,Trigger,ObjectOverwrite)</f>
        <v>obj_00114#0000</v>
      </c>
      <c r="L46" s="74" t="str">
        <f t="shared" ref="L46:L51" si="17">A50</f>
        <v>Sw</v>
      </c>
      <c r="M46" s="143" t="str">
        <f t="shared" ref="M46:M51" si="18">IF(ISBLANK(J50),"--",J50)</f>
        <v>--</v>
      </c>
      <c r="N46" s="151" t="str">
        <f>IFERROR(_xll.qlRateHelperQuoteName(M46,Trigger),"--")</f>
        <v>--</v>
      </c>
      <c r="O46" s="144" t="str">
        <f>IFERROR(_xll.qlRateHelperQuoteValue($M46,Trigger),"--")</f>
        <v>--</v>
      </c>
      <c r="P46" s="143" t="b">
        <v>0</v>
      </c>
      <c r="Q46" s="143">
        <v>50</v>
      </c>
      <c r="R46" s="143">
        <v>1</v>
      </c>
      <c r="S46" s="145" t="str">
        <f>IFERROR(_xll.qlRateHelperEarliestDate(M46,Trigger),"--")</f>
        <v>--</v>
      </c>
      <c r="T46" s="145" t="str">
        <f>IFERROR(_xll.qlRateHelperPillarDate(M46,Trigger),"--")</f>
        <v>--</v>
      </c>
      <c r="V46" s="4" t="str">
        <f t="shared" si="16"/>
        <v/>
      </c>
      <c r="W46" s="4" t="e">
        <v>#NUM!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#VALUE!</v>
      </c>
    </row>
    <row r="47" spans="1:29" ht="11.25" customHeight="1" x14ac:dyDescent="0.2">
      <c r="A47" s="62" t="s">
        <v>26</v>
      </c>
      <c r="B47" s="63" t="s">
        <v>63</v>
      </c>
      <c r="C47" s="64" t="s">
        <v>6</v>
      </c>
      <c r="D47" s="64" t="s">
        <v>8</v>
      </c>
      <c r="E47" s="64" t="s">
        <v>7</v>
      </c>
      <c r="F47" s="64" t="s">
        <v>116</v>
      </c>
      <c r="G47" s="64" t="str">
        <f t="shared" si="14"/>
        <v>Sekibor3M</v>
      </c>
      <c r="H47" s="62" t="str">
        <f t="shared" si="15"/>
        <v>SEKAB3S15Y_Quote</v>
      </c>
      <c r="I47" s="132">
        <v>0</v>
      </c>
      <c r="J47" s="67" t="str">
        <f>_xll.qlSwapRateHelper2(,H47,2,B47,Calendar,D47,E47,F47,G47,I47,C47,Discounting,PillarDate,,Permanent,Trigger,ObjectOverwrite)</f>
        <v>obj_0011b#0000</v>
      </c>
      <c r="L47" s="74" t="str">
        <f t="shared" si="17"/>
        <v>Sw</v>
      </c>
      <c r="M47" s="143" t="str">
        <f t="shared" si="18"/>
        <v>obj_00116#0000</v>
      </c>
      <c r="N47" s="151" t="str">
        <f>IFERROR(_xll.qlRateHelperQuoteName(M47,Trigger),"--")</f>
        <v>SEKAB3S30Y_Quote</v>
      </c>
      <c r="O47" s="144">
        <f>IFERROR(_xll.qlRateHelperQuoteValue($M47,Trigger),"--")</f>
        <v>2.2249999999999995E-2</v>
      </c>
      <c r="P47" s="143" t="b">
        <v>1</v>
      </c>
      <c r="Q47" s="143">
        <v>50</v>
      </c>
      <c r="R47" s="143">
        <v>1</v>
      </c>
      <c r="S47" s="145">
        <f>IFERROR(_xll.qlRateHelperEarliestDate(M47,Trigger),"--")</f>
        <v>42356</v>
      </c>
      <c r="T47" s="145">
        <f>IFERROR(_xll.qlRateHelperPillarDate(M47,Trigger),"--")</f>
        <v>53314</v>
      </c>
      <c r="V47" s="4" t="str">
        <f t="shared" si="16"/>
        <v/>
      </c>
      <c r="W47" s="4" t="e">
        <v>#NUM!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#VALUE!</v>
      </c>
    </row>
    <row r="48" spans="1:29" ht="11.25" customHeight="1" x14ac:dyDescent="0.2">
      <c r="A48" s="62" t="s">
        <v>26</v>
      </c>
      <c r="B48" s="63" t="s">
        <v>64</v>
      </c>
      <c r="C48" s="64" t="s">
        <v>6</v>
      </c>
      <c r="D48" s="64" t="s">
        <v>8</v>
      </c>
      <c r="E48" s="64" t="s">
        <v>7</v>
      </c>
      <c r="F48" s="64" t="s">
        <v>116</v>
      </c>
      <c r="G48" s="64" t="str">
        <f t="shared" si="14"/>
        <v>Sekibor3M</v>
      </c>
      <c r="H48" s="62" t="str">
        <f t="shared" si="15"/>
        <v>SEKAB3S20Y_Quote</v>
      </c>
      <c r="I48" s="132">
        <v>0</v>
      </c>
      <c r="J48" s="67" t="str">
        <f>_xll.qlSwapRateHelper2(,H48,2,B48,Calendar,D48,E48,F48,G48,I48,C48,Discounting,PillarDate,,Permanent,Trigger,ObjectOverwrite)</f>
        <v>obj_0011a#0000</v>
      </c>
      <c r="L48" s="74" t="str">
        <f t="shared" si="17"/>
        <v>Sw</v>
      </c>
      <c r="M48" s="143" t="str">
        <f t="shared" si="18"/>
        <v>--</v>
      </c>
      <c r="N48" s="151" t="str">
        <f>IFERROR(_xll.qlRateHelperQuoteName(M48,Trigger),"--")</f>
        <v>--</v>
      </c>
      <c r="O48" s="144" t="str">
        <f>IFERROR(_xll.qlRateHelperQuoteValue($M48,Trigger),"--")</f>
        <v>--</v>
      </c>
      <c r="P48" s="143" t="b">
        <v>0</v>
      </c>
      <c r="Q48" s="143">
        <v>40</v>
      </c>
      <c r="R48" s="143">
        <v>1</v>
      </c>
      <c r="S48" s="145" t="str">
        <f>IFERROR(_xll.qlRateHelperEarliestDate(M48,Trigger),"--")</f>
        <v>--</v>
      </c>
      <c r="T48" s="145" t="str">
        <f>IFERROR(_xll.qlRateHelperPillarDate(M48,Trigger),"--")</f>
        <v>--</v>
      </c>
      <c r="V48" s="4" t="str">
        <f t="shared" si="16"/>
        <v/>
      </c>
      <c r="W48" s="4" t="e">
        <v>#NUM!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#VALUE!</v>
      </c>
    </row>
    <row r="49" spans="1:29" ht="11.25" customHeight="1" x14ac:dyDescent="0.2">
      <c r="A49" s="62" t="s">
        <v>26</v>
      </c>
      <c r="B49" s="63" t="s">
        <v>65</v>
      </c>
      <c r="C49" s="64" t="s">
        <v>6</v>
      </c>
      <c r="D49" s="64" t="s">
        <v>8</v>
      </c>
      <c r="E49" s="64" t="s">
        <v>7</v>
      </c>
      <c r="F49" s="64" t="s">
        <v>116</v>
      </c>
      <c r="G49" s="64" t="str">
        <f t="shared" si="14"/>
        <v>Sekibor3M</v>
      </c>
      <c r="H49" s="62" t="str">
        <f t="shared" si="15"/>
        <v>SEKAB3S25Y_Quote</v>
      </c>
      <c r="I49" s="132">
        <v>0</v>
      </c>
      <c r="J49" s="67" t="str">
        <f>_xll.qlSwapRateHelper2(,H49,2,B49,Calendar,D49,E49,F49,G49,I49,C49,Discounting,PillarDate,,Permanent,Trigger,ObjectOverwrite)</f>
        <v>obj_00112#0000</v>
      </c>
      <c r="L49" s="74" t="str">
        <f t="shared" si="17"/>
        <v>Sw</v>
      </c>
      <c r="M49" s="143" t="str">
        <f t="shared" si="18"/>
        <v>--</v>
      </c>
      <c r="N49" s="151" t="str">
        <f>IFERROR(_xll.qlRateHelperQuoteName(M49,Trigger),"--")</f>
        <v>--</v>
      </c>
      <c r="O49" s="144" t="str">
        <f>IFERROR(_xll.qlRateHelperQuoteValue($M49,Trigger),"--")</f>
        <v>--</v>
      </c>
      <c r="P49" s="143" t="b">
        <v>0</v>
      </c>
      <c r="Q49" s="143">
        <v>40</v>
      </c>
      <c r="R49" s="143">
        <v>1</v>
      </c>
      <c r="S49" s="145" t="str">
        <f>IFERROR(_xll.qlRateHelperEarliestDate(M49,Trigger),"--")</f>
        <v>--</v>
      </c>
      <c r="T49" s="145" t="str">
        <f>IFERROR(_xll.qlRateHelperPillarDate(M49,Trigger),"--")</f>
        <v>--</v>
      </c>
      <c r="V49" s="4" t="str">
        <f t="shared" si="16"/>
        <v/>
      </c>
      <c r="W49" s="4" t="e">
        <v>#NUM!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#VALUE!</v>
      </c>
    </row>
    <row r="50" spans="1:29" ht="11.25" customHeight="1" x14ac:dyDescent="0.2">
      <c r="A50" s="62" t="s">
        <v>26</v>
      </c>
      <c r="B50" s="63" t="s">
        <v>66</v>
      </c>
      <c r="C50" s="64" t="s">
        <v>6</v>
      </c>
      <c r="D50" s="64" t="s">
        <v>8</v>
      </c>
      <c r="E50" s="64" t="s">
        <v>7</v>
      </c>
      <c r="F50" s="64" t="s">
        <v>116</v>
      </c>
      <c r="G50" s="64" t="str">
        <f t="shared" si="14"/>
        <v>Sekibor3M</v>
      </c>
      <c r="H50" s="62" t="str">
        <f t="shared" si="15"/>
        <v>SEKAB3S27Y_Quote</v>
      </c>
      <c r="I50" s="132">
        <v>0</v>
      </c>
      <c r="J50" s="67"/>
      <c r="L50" s="74" t="str">
        <f t="shared" si="17"/>
        <v>Sw</v>
      </c>
      <c r="M50" s="143" t="str">
        <f t="shared" si="18"/>
        <v>--</v>
      </c>
      <c r="N50" s="151" t="str">
        <f>IFERROR(_xll.qlRateHelperQuoteName(M50,Trigger),"--")</f>
        <v>--</v>
      </c>
      <c r="O50" s="144" t="str">
        <f>IFERROR(_xll.qlRateHelperQuoteValue($M50,Trigger),"--")</f>
        <v>--</v>
      </c>
      <c r="P50" s="143" t="b">
        <v>0</v>
      </c>
      <c r="Q50" s="143">
        <v>40</v>
      </c>
      <c r="R50" s="143">
        <v>1</v>
      </c>
      <c r="S50" s="145" t="str">
        <f>IFERROR(_xll.qlRateHelperEarliestDate(M50,Trigger),"--")</f>
        <v>--</v>
      </c>
      <c r="T50" s="145" t="str">
        <f>IFERROR(_xll.qlRateHelperPillarDate(M50,Trigger),"--")</f>
        <v>--</v>
      </c>
      <c r="V50" s="4" t="str">
        <f t="shared" si="16"/>
        <v/>
      </c>
      <c r="W50" s="4" t="e">
        <v>#NUM!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#VALUE!</v>
      </c>
    </row>
    <row r="51" spans="1:29" ht="11.25" customHeight="1" x14ac:dyDescent="0.2">
      <c r="A51" s="62" t="s">
        <v>26</v>
      </c>
      <c r="B51" s="63" t="s">
        <v>67</v>
      </c>
      <c r="C51" s="64" t="s">
        <v>6</v>
      </c>
      <c r="D51" s="64" t="s">
        <v>8</v>
      </c>
      <c r="E51" s="64" t="s">
        <v>7</v>
      </c>
      <c r="F51" s="64" t="s">
        <v>116</v>
      </c>
      <c r="G51" s="64" t="str">
        <f t="shared" si="14"/>
        <v>Sekibor3M</v>
      </c>
      <c r="H51" s="62" t="str">
        <f t="shared" si="15"/>
        <v>SEKAB3S30Y_Quote</v>
      </c>
      <c r="I51" s="132">
        <v>0</v>
      </c>
      <c r="J51" s="67" t="str">
        <f>_xll.qlSwapRateHelper2(,H51,2,B51,Calendar,D51,E51,F51,G51,I51,C51,Discounting,PillarDate,,Permanent,Trigger,ObjectOverwrite)</f>
        <v>obj_00116#0000</v>
      </c>
      <c r="L51" s="75" t="str">
        <f t="shared" si="17"/>
        <v>Sw</v>
      </c>
      <c r="M51" s="146" t="str">
        <f t="shared" si="18"/>
        <v>--</v>
      </c>
      <c r="N51" s="156" t="str">
        <f>IFERROR(_xll.qlRateHelperQuoteName(M51,Trigger),"--")</f>
        <v>--</v>
      </c>
      <c r="O51" s="157" t="str">
        <f>IFERROR(_xll.qlRateHelperQuoteValue($M51,Trigger),"--")</f>
        <v>--</v>
      </c>
      <c r="P51" s="146" t="b">
        <v>0</v>
      </c>
      <c r="Q51" s="146">
        <v>40</v>
      </c>
      <c r="R51" s="146">
        <v>1</v>
      </c>
      <c r="S51" s="155" t="str">
        <f>IFERROR(_xll.qlRateHelperEarliestDate(M51,Trigger),"--")</f>
        <v>--</v>
      </c>
      <c r="T51" s="155" t="str">
        <f>IFERROR(_xll.qlRateHelperPillarDate(M51,Trigger),"--")</f>
        <v>--</v>
      </c>
      <c r="V51" s="6" t="str">
        <f t="shared" si="16"/>
        <v/>
      </c>
      <c r="W51" s="6" t="e">
        <v>#NUM!</v>
      </c>
      <c r="X51" s="6" t="str">
        <f>IFERROR(_xll.qlRateHelperQuoteName(W51,Trigger),"")</f>
        <v/>
      </c>
      <c r="Y51" s="83" t="str">
        <f>IFERROR(_xll.qlRateHelperRate(W51,Trigger),"")</f>
        <v/>
      </c>
      <c r="Z51" s="109" t="str">
        <f>IF(ISERROR(_xll.qlSwapRateHelperSpread($W51)),IF(ISERROR(_xll.qlFuturesRateHelperConvexityAdjustment($W51)),"",_xll.qlFuturesRateHelperConvexityAdjustment($W51)),_xll.qlSwapRateHelperSpread($W51))</f>
        <v/>
      </c>
      <c r="AA51" s="12" t="str">
        <f>IFERROR(_xll.qlRateHelperEarliestDate(W51,Trigger),"")</f>
        <v/>
      </c>
      <c r="AB51" s="12" t="str">
        <f>IFERROR(_xll.qlRateHelperPillarDate(W51,Trigger),"")</f>
        <v/>
      </c>
      <c r="AC51" s="82" t="e">
        <v>#VALUE!</v>
      </c>
    </row>
    <row r="52" spans="1:29" ht="11.25" customHeight="1" x14ac:dyDescent="0.2">
      <c r="A52" s="62" t="s">
        <v>26</v>
      </c>
      <c r="B52" s="63" t="s">
        <v>68</v>
      </c>
      <c r="C52" s="64" t="s">
        <v>6</v>
      </c>
      <c r="D52" s="64" t="s">
        <v>8</v>
      </c>
      <c r="E52" s="64" t="s">
        <v>7</v>
      </c>
      <c r="F52" s="64" t="s">
        <v>116</v>
      </c>
      <c r="G52" s="64" t="str">
        <f t="shared" si="14"/>
        <v>Sekibor3M</v>
      </c>
      <c r="H52" s="62" t="str">
        <f t="shared" si="15"/>
        <v>SEKAB3S35Y_Quote</v>
      </c>
      <c r="I52" s="132">
        <v>0</v>
      </c>
      <c r="J52" s="67"/>
      <c r="L52" s="175"/>
    </row>
    <row r="53" spans="1:29" ht="11.25" customHeight="1" x14ac:dyDescent="0.2">
      <c r="A53" s="62" t="s">
        <v>26</v>
      </c>
      <c r="B53" s="63" t="s">
        <v>69</v>
      </c>
      <c r="C53" s="64" t="s">
        <v>6</v>
      </c>
      <c r="D53" s="64" t="s">
        <v>8</v>
      </c>
      <c r="E53" s="64" t="s">
        <v>7</v>
      </c>
      <c r="F53" s="64" t="s">
        <v>116</v>
      </c>
      <c r="G53" s="64" t="str">
        <f t="shared" si="14"/>
        <v>Sekibor3M</v>
      </c>
      <c r="H53" s="62" t="str">
        <f t="shared" si="15"/>
        <v>SEKAB3S40Y_Quote</v>
      </c>
      <c r="I53" s="132">
        <v>0</v>
      </c>
      <c r="J53" s="67"/>
      <c r="L53" s="175"/>
    </row>
    <row r="54" spans="1:29" ht="11.25" customHeight="1" x14ac:dyDescent="0.2">
      <c r="A54" s="62" t="s">
        <v>26</v>
      </c>
      <c r="B54" s="63" t="s">
        <v>139</v>
      </c>
      <c r="C54" s="64" t="s">
        <v>6</v>
      </c>
      <c r="D54" s="64" t="s">
        <v>8</v>
      </c>
      <c r="E54" s="64" t="s">
        <v>7</v>
      </c>
      <c r="F54" s="64" t="s">
        <v>116</v>
      </c>
      <c r="G54" s="64" t="str">
        <f t="shared" si="14"/>
        <v>Sekibor3M</v>
      </c>
      <c r="H54" s="62" t="str">
        <f t="shared" si="15"/>
        <v>SEKAB3S45Y_Quote</v>
      </c>
      <c r="I54" s="132">
        <v>0</v>
      </c>
      <c r="J54" s="67"/>
      <c r="L54" s="175"/>
    </row>
    <row r="55" spans="1:29" ht="11.25" customHeight="1" x14ac:dyDescent="0.2">
      <c r="A55" s="1" t="s">
        <v>26</v>
      </c>
      <c r="B55" s="8" t="s">
        <v>70</v>
      </c>
      <c r="C55" s="7" t="s">
        <v>6</v>
      </c>
      <c r="D55" s="7" t="s">
        <v>8</v>
      </c>
      <c r="E55" s="7" t="s">
        <v>7</v>
      </c>
      <c r="F55" s="7" t="s">
        <v>116</v>
      </c>
      <c r="G55" s="7" t="str">
        <f t="shared" si="14"/>
        <v>Sekibor3M</v>
      </c>
      <c r="H55" s="1" t="str">
        <f t="shared" si="15"/>
        <v>SEKAB3S50Y_Quote</v>
      </c>
      <c r="I55" s="134">
        <v>0</v>
      </c>
      <c r="J55" s="3"/>
      <c r="L55" s="175"/>
    </row>
    <row r="56" spans="1:29" ht="11.25" customHeight="1" x14ac:dyDescent="0.2"/>
    <row r="57" spans="1:29" ht="11.25" customHeight="1" x14ac:dyDescent="0.2"/>
    <row r="58" spans="1:29" ht="11.25" customHeight="1" x14ac:dyDescent="0.2"/>
    <row r="59" spans="1:29" ht="11.25" customHeight="1" x14ac:dyDescent="0.2"/>
    <row r="60" spans="1:29" ht="11.25" customHeight="1" x14ac:dyDescent="0.2"/>
    <row r="61" spans="1:29" ht="11.25" customHeight="1" x14ac:dyDescent="0.2"/>
    <row r="62" spans="1:29" ht="11.25" customHeight="1" x14ac:dyDescent="0.2"/>
    <row r="63" spans="1:29" ht="11.25" customHeight="1" x14ac:dyDescent="0.2"/>
    <row r="64" spans="1:29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49" t="s">
        <v>37</v>
      </c>
    </row>
  </sheetData>
  <dataValidations count="4">
    <dataValidation type="list" allowBlank="1" showInputMessage="1" showErrorMessage="1" sqref="E3:E6 E29:E55">
      <formula1>"Following,Modified Following,Preceding,Modified Preceding,Unadjusted,Half-Month Modified Following"</formula1>
    </dataValidation>
    <dataValidation type="list" allowBlank="1" showInputMessage="1" showErrorMessage="1" sqref="F3:F6 F29:F5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D29:D55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7109375" style="55" hidden="1" customWidth="1" outlineLevel="1"/>
    <col min="9" max="9" width="16.710937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710937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9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"_SYNTH"&amp;$G$1</f>
        <v>_SYNTH6M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SEK6M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95</v>
      </c>
      <c r="D2" s="68" t="s">
        <v>114</v>
      </c>
      <c r="E2" s="68" t="s">
        <v>35</v>
      </c>
      <c r="F2" s="68" t="s">
        <v>101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82</v>
      </c>
      <c r="O2" s="77" t="s">
        <v>85</v>
      </c>
      <c r="P2" s="77" t="s">
        <v>83</v>
      </c>
      <c r="Q2" s="77" t="s">
        <v>84</v>
      </c>
      <c r="R2" s="77" t="s">
        <v>86</v>
      </c>
      <c r="S2" s="77" t="s">
        <v>23</v>
      </c>
      <c r="T2" s="77" t="s">
        <v>79</v>
      </c>
      <c r="U2" s="97"/>
      <c r="V2" s="77" t="s">
        <v>9</v>
      </c>
      <c r="W2" s="77" t="s">
        <v>25</v>
      </c>
      <c r="X2" s="77" t="s">
        <v>82</v>
      </c>
      <c r="Y2" s="79" t="s">
        <v>24</v>
      </c>
      <c r="Z2" s="79" t="s">
        <v>87</v>
      </c>
      <c r="AA2" s="77" t="s">
        <v>23</v>
      </c>
      <c r="AB2" s="77" t="s">
        <v>79</v>
      </c>
      <c r="AC2" s="80" t="e">
        <f t="array" ref="AC2:AC39">_xll.qlPiecewiseYieldCurveData(YieldCurve_6M,Trigger)</f>
        <v>#NUM!</v>
      </c>
      <c r="AF2" s="191" t="s">
        <v>88</v>
      </c>
      <c r="AG2" s="192"/>
      <c r="AH2" s="192"/>
      <c r="AI2" s="192"/>
      <c r="AJ2" s="193"/>
    </row>
    <row r="3" spans="1:38" ht="11.25" customHeight="1" x14ac:dyDescent="0.2">
      <c r="A3" s="114" t="s">
        <v>27</v>
      </c>
      <c r="B3" s="115" t="s">
        <v>75</v>
      </c>
      <c r="C3" s="116" t="s">
        <v>76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obj_00136#0000</v>
      </c>
      <c r="H3" s="125" t="str">
        <f t="shared" ref="H3:H12" si="0">Currency&amp;$B3&amp;"D"&amp;$H$1&amp;QuoteSuffix</f>
        <v>SEKSND_SYNTH6M_Quote</v>
      </c>
      <c r="I3" s="128"/>
      <c r="J3" s="118"/>
      <c r="K3" s="52"/>
      <c r="L3" s="71" t="str">
        <f>A3</f>
        <v>Dp</v>
      </c>
      <c r="M3" s="135" t="str">
        <f>IF(ISBLANK(J3),"--",J3)</f>
        <v>--</v>
      </c>
      <c r="N3" s="147" t="str">
        <f>IFERROR(_xll.qlRateHelperQuoteName(M3,Trigger),"--")</f>
        <v>--</v>
      </c>
      <c r="O3" s="137" t="str">
        <f>IFERROR(_xll.qlRateHelperQuoteValue($M3,Trigger),"--")</f>
        <v>--</v>
      </c>
      <c r="P3" s="140" t="b">
        <v>0</v>
      </c>
      <c r="Q3" s="135">
        <v>10</v>
      </c>
      <c r="R3" s="135">
        <v>1</v>
      </c>
      <c r="S3" s="138" t="str">
        <f>IFERROR(_xll.qlRateHelperEarliestDate(M3,Trigger),"--")</f>
        <v>--</v>
      </c>
      <c r="T3" s="138" t="str">
        <f>IFERROR(_xll.qlRateHelperPillarDate(M3,Trigger),"--")</f>
        <v>--</v>
      </c>
      <c r="V3" s="4" t="str">
        <f t="shared" ref="V3:V39" si="1">IFERROR(INDEX($L$3:$L$39,MATCH(X3,$N$3:$N$39,0),1),"")</f>
        <v>Dp</v>
      </c>
      <c r="W3" s="4" t="str">
        <f t="array" ref="W3:W39">_xll.qlRateHelperSelection(_xll.ohFilter(RateHelpers,IncludeFlag),_xll.ohFilter(Priority,IncludeFlag),$AJ$3,$AJ$4,$AJ$5,$AJ$6,_xll.ohFilter(MinDistance,IncludeFlag),Trigger)</f>
        <v>obj_00150</v>
      </c>
      <c r="X3" s="4" t="str">
        <f>IFERROR(_xll.qlRateHelperQuoteName(W3,Trigger),"")</f>
        <v>SEK1MD_SYNTH6M_Quote</v>
      </c>
      <c r="Y3" s="73" t="str">
        <f>IFERROR(_xll.qlRateHelperRate(W3,Trigger),"")</f>
        <v/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42356</v>
      </c>
      <c r="AB3" s="5">
        <f>IFERROR(_xll.qlRateHelperPillarDate(W3,Trigger),"")</f>
        <v>42387</v>
      </c>
      <c r="AC3" s="81" t="e">
        <v>#NUM!</v>
      </c>
      <c r="AD3" s="190"/>
      <c r="AF3" s="200" t="s">
        <v>89</v>
      </c>
      <c r="AJ3" s="201">
        <v>0</v>
      </c>
    </row>
    <row r="4" spans="1:38" ht="11.25" customHeight="1" x14ac:dyDescent="0.2">
      <c r="A4" s="56" t="s">
        <v>27</v>
      </c>
      <c r="B4" s="57" t="s">
        <v>94</v>
      </c>
      <c r="C4" s="59" t="s">
        <v>39</v>
      </c>
      <c r="D4" s="59" t="b">
        <v>0</v>
      </c>
      <c r="E4" s="59" t="s">
        <v>7</v>
      </c>
      <c r="F4" s="59" t="s">
        <v>28</v>
      </c>
      <c r="G4" s="58"/>
      <c r="H4" s="158" t="str">
        <f t="shared" si="0"/>
        <v>SEKSWD_SYNTH6M_Quote</v>
      </c>
      <c r="I4" s="133"/>
      <c r="J4" s="61"/>
      <c r="K4" s="51"/>
      <c r="L4" s="10" t="str">
        <f t="shared" ref="L4:L9" si="2">A4</f>
        <v>Dp</v>
      </c>
      <c r="M4" s="98" t="str">
        <f t="shared" ref="M4:M9" si="3">IF(ISBLANK(J4),"--",J4)</f>
        <v>--</v>
      </c>
      <c r="N4" s="148" t="str">
        <f>IFERROR(_xll.qlRateHelperQuoteName(M4,Trigger),"--")</f>
        <v>--</v>
      </c>
      <c r="O4" s="102" t="str">
        <f>IFERROR(_xll.qlRateHelperQuoteValue($M4,Trigger),"--")</f>
        <v>--</v>
      </c>
      <c r="P4" s="143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si="1"/>
        <v>Dp</v>
      </c>
      <c r="W4" s="4" t="str">
        <v>obj_0013a</v>
      </c>
      <c r="X4" s="4" t="str">
        <f>IFERROR(_xll.qlRateHelperQuoteName(W4,Trigger),"")</f>
        <v>SEK2MD_SYNTH6M_Quote</v>
      </c>
      <c r="Y4" s="73" t="str">
        <f>IFERROR(_xll.qlRateHelperRate(W4,Trigger),"")</f>
        <v/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42356</v>
      </c>
      <c r="AB4" s="5">
        <f>IFERROR(_xll.qlRateHelperPillarDate(W4,Trigger),"")</f>
        <v>42418</v>
      </c>
      <c r="AC4" s="81" t="e">
        <v>#NUM!</v>
      </c>
      <c r="AD4" s="190"/>
      <c r="AF4" s="111" t="s">
        <v>90</v>
      </c>
      <c r="AJ4" s="112">
        <v>0</v>
      </c>
    </row>
    <row r="5" spans="1:38" ht="11.25" customHeight="1" x14ac:dyDescent="0.2">
      <c r="A5" s="62" t="s">
        <v>27</v>
      </c>
      <c r="B5" s="63" t="s">
        <v>40</v>
      </c>
      <c r="C5" s="65" t="str">
        <f>B5</f>
        <v>2W</v>
      </c>
      <c r="D5" s="65" t="b">
        <v>0</v>
      </c>
      <c r="E5" s="65" t="s">
        <v>7</v>
      </c>
      <c r="F5" s="65" t="s">
        <v>28</v>
      </c>
      <c r="G5" s="64"/>
      <c r="H5" s="126" t="str">
        <f t="shared" si="0"/>
        <v>SEK2WD_SYNTH6M_Quote</v>
      </c>
      <c r="I5" s="129"/>
      <c r="J5" s="67"/>
      <c r="K5" s="51"/>
      <c r="L5" s="10" t="str">
        <f t="shared" si="2"/>
        <v>Dp</v>
      </c>
      <c r="M5" s="98" t="str">
        <f t="shared" si="3"/>
        <v>--</v>
      </c>
      <c r="N5" s="148" t="str">
        <f>IFERROR(_xll.qlRateHelperQuoteName(M5,Trigger),"--")</f>
        <v>--</v>
      </c>
      <c r="O5" s="102" t="str">
        <f>IFERROR(_xll.qlRateHelperQuoteValue($M5,Trigger),"--")</f>
        <v>--</v>
      </c>
      <c r="P5" s="143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1"/>
        <v>Dp</v>
      </c>
      <c r="W5" s="4" t="str">
        <v>obj_00153</v>
      </c>
      <c r="X5" s="4" t="str">
        <f>IFERROR(_xll.qlRateHelperQuoteName(W5,Trigger),"")</f>
        <v>SEK3MD_SYNTH6M_Quote</v>
      </c>
      <c r="Y5" s="73" t="str">
        <f>IFERROR(_xll.qlRateHelperRate(W5,Trigger),"")</f>
        <v/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42356</v>
      </c>
      <c r="AB5" s="5">
        <f>IFERROR(_xll.qlRateHelperPillarDate(W5,Trigger),"")</f>
        <v>42447</v>
      </c>
      <c r="AC5" s="81" t="e">
        <v>#NUM!</v>
      </c>
      <c r="AD5" s="190"/>
      <c r="AE5" s="84"/>
      <c r="AF5" s="111" t="s">
        <v>91</v>
      </c>
      <c r="AJ5" s="112">
        <v>0</v>
      </c>
    </row>
    <row r="6" spans="1:38" ht="11.25" customHeight="1" x14ac:dyDescent="0.2">
      <c r="A6" s="183" t="s">
        <v>27</v>
      </c>
      <c r="B6" s="184" t="s">
        <v>41</v>
      </c>
      <c r="C6" s="185" t="str">
        <f t="shared" ref="C6:C9" si="4">B6</f>
        <v>3W</v>
      </c>
      <c r="D6" s="185" t="b">
        <v>0</v>
      </c>
      <c r="E6" s="185" t="s">
        <v>7</v>
      </c>
      <c r="F6" s="185" t="s">
        <v>28</v>
      </c>
      <c r="G6" s="187"/>
      <c r="H6" s="188" t="str">
        <f t="shared" si="0"/>
        <v>SEK3WD_SYNTH6M_Quote</v>
      </c>
      <c r="I6" s="186"/>
      <c r="J6" s="189"/>
      <c r="K6" s="51"/>
      <c r="L6" s="10" t="str">
        <f t="shared" si="2"/>
        <v>Dp</v>
      </c>
      <c r="M6" s="98" t="str">
        <f t="shared" si="3"/>
        <v>--</v>
      </c>
      <c r="N6" s="148" t="str">
        <f>IFERROR(_xll.qlRateHelperQuoteName(M6,Trigger),"--")</f>
        <v>--</v>
      </c>
      <c r="O6" s="102" t="str">
        <f>IFERROR(_xll.qlRateHelperQuoteValue($M6,Trigger),"--")</f>
        <v>--</v>
      </c>
      <c r="P6" s="143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1"/>
        <v>Dp</v>
      </c>
      <c r="W6" s="4" t="str">
        <v>obj_00151</v>
      </c>
      <c r="X6" s="4" t="str">
        <f>IFERROR(_xll.qlRateHelperQuoteName(W6,Trigger),"")</f>
        <v>SEK4MD_SYNTH6M_Quote</v>
      </c>
      <c r="Y6" s="73" t="str">
        <f>IFERROR(_xll.qlRateHelperRate(W6,Trigger),"")</f>
        <v/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42356</v>
      </c>
      <c r="AB6" s="5">
        <f>IFERROR(_xll.qlRateHelperPillarDate(W6,Trigger),"")</f>
        <v>42478</v>
      </c>
      <c r="AC6" s="81" t="e">
        <v>#NUM!</v>
      </c>
      <c r="AD6" s="190"/>
      <c r="AF6" s="111" t="s">
        <v>92</v>
      </c>
      <c r="AJ6" s="113" t="s">
        <v>93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Sekibor1M</v>
      </c>
      <c r="H7" s="126" t="str">
        <f t="shared" si="0"/>
        <v>SEK1MD_SYNTH6M_Quote</v>
      </c>
      <c r="I7" s="129"/>
      <c r="J7" s="67" t="str">
        <f>_xll.qlDepositRateHelper(,H7,G7,Permanent,Trigger,ObjectOverwrite)</f>
        <v>obj_00150#0000</v>
      </c>
      <c r="K7" s="51"/>
      <c r="L7" s="10" t="str">
        <f t="shared" si="2"/>
        <v>Dp</v>
      </c>
      <c r="M7" s="98" t="str">
        <f t="shared" si="3"/>
        <v>obj_00150#0000</v>
      </c>
      <c r="N7" s="148" t="str">
        <f>IFERROR(_xll.qlRateHelperQuoteName(M7,Trigger),"--")</f>
        <v>SEK1MD_SYNTH6M_Quote</v>
      </c>
      <c r="O7" s="102" t="str">
        <f>IFERROR(_xll.qlRateHelperQuoteValue($M7,Trigger),"--")</f>
        <v>--</v>
      </c>
      <c r="P7" s="143" t="b">
        <v>1</v>
      </c>
      <c r="Q7" s="98">
        <v>10</v>
      </c>
      <c r="R7" s="98">
        <v>1</v>
      </c>
      <c r="S7" s="103">
        <f>IFERROR(_xll.qlRateHelperEarliestDate(M7,Trigger),"--")</f>
        <v>42356</v>
      </c>
      <c r="T7" s="103">
        <f>IFERROR(_xll.qlRateHelperPillarDate(M7,Trigger),"--")</f>
        <v>42387</v>
      </c>
      <c r="V7" s="4" t="str">
        <f t="shared" si="1"/>
        <v>Dp</v>
      </c>
      <c r="W7" s="4" t="str">
        <v>obj_0014d</v>
      </c>
      <c r="X7" s="4" t="str">
        <f>IFERROR(_xll.qlRateHelperQuoteName(W7,Trigger),"")</f>
        <v>SEK5MD_SYNTH6M_Quote</v>
      </c>
      <c r="Y7" s="73" t="str">
        <f>IFERROR(_xll.qlRateHelperRate(W7,Trigger),"")</f>
        <v/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42356</v>
      </c>
      <c r="AB7" s="5">
        <f>IFERROR(_xll.qlRateHelperPillarDate(W7,Trigger),"")</f>
        <v>42508</v>
      </c>
      <c r="AC7" s="81" t="e">
        <v>#NUM!</v>
      </c>
      <c r="AD7" s="190"/>
    </row>
    <row r="8" spans="1:38" ht="11.25" customHeight="1" x14ac:dyDescent="0.2">
      <c r="A8" s="62" t="s">
        <v>27</v>
      </c>
      <c r="B8" s="63" t="s">
        <v>42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Sekibor2M</v>
      </c>
      <c r="H8" s="126" t="str">
        <f t="shared" si="0"/>
        <v>SEK2MD_SYNTH6M_Quote</v>
      </c>
      <c r="I8" s="129"/>
      <c r="J8" s="67" t="str">
        <f>_xll.qlDepositRateHelper(,H8,G8,Permanent,Trigger,ObjectOverwrite)</f>
        <v>obj_0013a#0000</v>
      </c>
      <c r="K8" s="51"/>
      <c r="L8" s="10" t="str">
        <f t="shared" si="2"/>
        <v>Dp</v>
      </c>
      <c r="M8" s="98" t="str">
        <f t="shared" si="3"/>
        <v>obj_0013a#0000</v>
      </c>
      <c r="N8" s="148" t="str">
        <f>IFERROR(_xll.qlRateHelperQuoteName(M8,Trigger),"--")</f>
        <v>SEK2MD_SYNTH6M_Quote</v>
      </c>
      <c r="O8" s="102" t="str">
        <f>IFERROR(_xll.qlRateHelperQuoteValue($M8,Trigger),"--")</f>
        <v>--</v>
      </c>
      <c r="P8" s="143" t="b">
        <v>1</v>
      </c>
      <c r="Q8" s="98">
        <v>10</v>
      </c>
      <c r="R8" s="98">
        <v>1</v>
      </c>
      <c r="S8" s="103">
        <f>IFERROR(_xll.qlRateHelperEarliestDate(M8,Trigger),"--")</f>
        <v>42356</v>
      </c>
      <c r="T8" s="103">
        <f>IFERROR(_xll.qlRateHelperPillarDate(M8,Trigger),"--")</f>
        <v>42418</v>
      </c>
      <c r="V8" s="4" t="str">
        <f t="shared" si="1"/>
        <v>Dp</v>
      </c>
      <c r="W8" s="4" t="str">
        <v>obj_00155</v>
      </c>
      <c r="X8" s="4" t="str">
        <f>IFERROR(_xll.qlRateHelperQuoteName(W8,Trigger),"")</f>
        <v>SEK6MD_SYNTH6M_Quote</v>
      </c>
      <c r="Y8" s="73" t="str">
        <f>IFERROR(_xll.qlRateHelperRate(W8,Trigger),"")</f>
        <v/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42356</v>
      </c>
      <c r="AB8" s="5">
        <f>IFERROR(_xll.qlRateHelperPillarDate(W8,Trigger),"")</f>
        <v>42541</v>
      </c>
      <c r="AC8" s="81" t="e">
        <v>#NUM!</v>
      </c>
      <c r="AD8" s="190"/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9"/>
      <c r="E9" s="129"/>
      <c r="F9" s="129"/>
      <c r="G9" s="64" t="str">
        <f>PROPER(Currency)&amp;FamilyName&amp;B9</f>
        <v>Sekibor3M</v>
      </c>
      <c r="H9" s="126" t="str">
        <f t="shared" si="0"/>
        <v>SEK3MD_SYNTH6M_Quote</v>
      </c>
      <c r="I9" s="129"/>
      <c r="J9" s="67" t="str">
        <f>_xll.qlDepositRateHelper(,H9,G9,Permanent,Trigger,ObjectOverwrite)</f>
        <v>obj_00153#0000</v>
      </c>
      <c r="K9" s="51"/>
      <c r="L9" s="10" t="str">
        <f t="shared" si="2"/>
        <v>Dp</v>
      </c>
      <c r="M9" s="98" t="str">
        <f t="shared" si="3"/>
        <v>obj_00153#0000</v>
      </c>
      <c r="N9" s="148" t="str">
        <f>IFERROR(_xll.qlRateHelperQuoteName(M9,Trigger),"--")</f>
        <v>SEK3MD_SYNTH6M_Quote</v>
      </c>
      <c r="O9" s="102" t="str">
        <f>IFERROR(_xll.qlRateHelperQuoteValue($M9,Trigger),"--")</f>
        <v>--</v>
      </c>
      <c r="P9" s="143" t="b">
        <v>1</v>
      </c>
      <c r="Q9" s="98">
        <v>10</v>
      </c>
      <c r="R9" s="98">
        <v>1</v>
      </c>
      <c r="S9" s="103">
        <f>IFERROR(_xll.qlRateHelperEarliestDate(M9,Trigger),"--")</f>
        <v>42356</v>
      </c>
      <c r="T9" s="103">
        <f>IFERROR(_xll.qlRateHelperPillarDate(M9,Trigger),"--")</f>
        <v>42447</v>
      </c>
      <c r="V9" s="4" t="str">
        <f t="shared" si="1"/>
        <v>BasSw</v>
      </c>
      <c r="W9" s="4" t="str">
        <v>obj_0011c</v>
      </c>
      <c r="X9" s="4" t="str">
        <f>IFERROR(_xll.qlRateHelperQuoteName(W9,Trigger),"")</f>
        <v>SEKSB6S1Y_3S6S_Quote</v>
      </c>
      <c r="Y9" s="73" t="str">
        <f>IFERROR(_xll.qlRateHelperRate(W9,Trigger),"")</f>
        <v/>
      </c>
      <c r="Z9" s="108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42356</v>
      </c>
      <c r="AB9" s="5">
        <f>IFERROR(_xll.qlRateHelperPillarDate(W9,Trigger),"")</f>
        <v>42723</v>
      </c>
      <c r="AC9" s="81" t="e">
        <v>#NUM!</v>
      </c>
      <c r="AD9" s="190"/>
      <c r="AG9" s="49" t="s">
        <v>111</v>
      </c>
    </row>
    <row r="10" spans="1:38" ht="11.25" customHeight="1" x14ac:dyDescent="0.2">
      <c r="A10" s="176" t="s">
        <v>27</v>
      </c>
      <c r="B10" s="177" t="s">
        <v>43</v>
      </c>
      <c r="C10" s="178" t="str">
        <f t="shared" ref="C10:C12" si="5">B10</f>
        <v>4M</v>
      </c>
      <c r="D10" s="178" t="b">
        <v>1</v>
      </c>
      <c r="E10" s="178" t="s">
        <v>7</v>
      </c>
      <c r="F10" s="178" t="s">
        <v>28</v>
      </c>
      <c r="G10" s="180" t="str">
        <f>_xll.qlIborIndex(,FamilyName,C10,2,Currency,Calendar,E10,D10,F10,,Permanent,Trigger,ObjectOverwrite)</f>
        <v>obj_0013c#0000</v>
      </c>
      <c r="H10" s="181" t="str">
        <f t="shared" si="0"/>
        <v>SEK4MD_SYNTH6M_Quote</v>
      </c>
      <c r="I10" s="179"/>
      <c r="J10" s="182" t="str">
        <f>_xll.qlDepositRateHelper(,H10,G10,Permanent,Trigger,ObjectOverwrite)</f>
        <v>obj_00151#0000</v>
      </c>
      <c r="K10" s="51"/>
      <c r="L10" s="10" t="str">
        <f t="shared" ref="L10:L12" si="6">A10</f>
        <v>Dp</v>
      </c>
      <c r="M10" s="98" t="str">
        <f t="shared" ref="M10:M12" si="7">IF(ISBLANK(J10),"--",J10)</f>
        <v>obj_00151#0000</v>
      </c>
      <c r="N10" s="148" t="str">
        <f>IFERROR(_xll.qlRateHelperQuoteName(M10,Trigger),"--")</f>
        <v>SEK4MD_SYNTH6M_Quote</v>
      </c>
      <c r="O10" s="102" t="str">
        <f>IFERROR(_xll.qlRateHelperQuoteValue($M10,Trigger),"--")</f>
        <v>--</v>
      </c>
      <c r="P10" s="143" t="b">
        <v>1</v>
      </c>
      <c r="Q10" s="98">
        <v>10</v>
      </c>
      <c r="R10" s="98">
        <v>1</v>
      </c>
      <c r="S10" s="103">
        <f>IFERROR(_xll.qlRateHelperEarliestDate(M10,Trigger),"--")</f>
        <v>42356</v>
      </c>
      <c r="T10" s="103">
        <f>IFERROR(_xll.qlRateHelperPillarDate(M10,Trigger),"--")</f>
        <v>42478</v>
      </c>
      <c r="V10" s="4" t="str">
        <f t="shared" si="1"/>
        <v>BasSw</v>
      </c>
      <c r="W10" s="4" t="str">
        <v>obj_00146</v>
      </c>
      <c r="X10" s="4" t="str">
        <f>IFERROR(_xll.qlRateHelperQuoteName(W10,Trigger),"")</f>
        <v>SEKSB6S2Y_3S6S_Quote</v>
      </c>
      <c r="Y10" s="73" t="str">
        <f>IFERROR(_xll.qlRateHelperRate(W10,Trigger),"")</f>
        <v/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42356</v>
      </c>
      <c r="AB10" s="5">
        <f>IFERROR(_xll.qlRateHelperPillarDate(W10,Trigger),"")</f>
        <v>43087</v>
      </c>
      <c r="AC10" s="81" t="e">
        <v>#NUM!</v>
      </c>
      <c r="AD10" s="190"/>
      <c r="AE10" s="77" t="s">
        <v>105</v>
      </c>
      <c r="AF10" s="77" t="s">
        <v>106</v>
      </c>
      <c r="AG10" s="77" t="s">
        <v>107</v>
      </c>
      <c r="AH10" s="77" t="s">
        <v>118</v>
      </c>
      <c r="AI10" s="77" t="s">
        <v>108</v>
      </c>
      <c r="AJ10" s="77" t="s">
        <v>119</v>
      </c>
      <c r="AK10" s="77" t="s">
        <v>109</v>
      </c>
      <c r="AL10" s="77" t="s">
        <v>110</v>
      </c>
    </row>
    <row r="11" spans="1:38" ht="11.25" customHeight="1" x14ac:dyDescent="0.2">
      <c r="A11" s="183" t="s">
        <v>27</v>
      </c>
      <c r="B11" s="184" t="s">
        <v>44</v>
      </c>
      <c r="C11" s="185" t="str">
        <f t="shared" si="5"/>
        <v>5M</v>
      </c>
      <c r="D11" s="185" t="b">
        <v>1</v>
      </c>
      <c r="E11" s="185" t="s">
        <v>7</v>
      </c>
      <c r="F11" s="185" t="s">
        <v>28</v>
      </c>
      <c r="G11" s="187" t="str">
        <f>_xll.qlIborIndex(,FamilyName,C11,2,Currency,Calendar,E11,D11,F11,,Permanent,Trigger,ObjectOverwrite)</f>
        <v>obj_0014b#0000</v>
      </c>
      <c r="H11" s="188" t="str">
        <f t="shared" si="0"/>
        <v>SEK5MD_SYNTH6M_Quote</v>
      </c>
      <c r="I11" s="186"/>
      <c r="J11" s="189" t="str">
        <f>_xll.qlDepositRateHelper(,H11,G11,Permanent,Trigger,ObjectOverwrite)</f>
        <v>obj_0014d#0000</v>
      </c>
      <c r="K11" s="51"/>
      <c r="L11" s="10" t="str">
        <f t="shared" si="6"/>
        <v>Dp</v>
      </c>
      <c r="M11" s="98" t="str">
        <f t="shared" si="7"/>
        <v>obj_0014d#0000</v>
      </c>
      <c r="N11" s="148" t="str">
        <f>IFERROR(_xll.qlRateHelperQuoteName(M11,Trigger),"--")</f>
        <v>SEK5MD_SYNTH6M_Quote</v>
      </c>
      <c r="O11" s="102" t="str">
        <f>IFERROR(_xll.qlRateHelperQuoteValue($M11,Trigger),"--")</f>
        <v>--</v>
      </c>
      <c r="P11" s="143" t="b">
        <v>1</v>
      </c>
      <c r="Q11" s="98">
        <v>10</v>
      </c>
      <c r="R11" s="98">
        <v>1</v>
      </c>
      <c r="S11" s="103">
        <f>IFERROR(_xll.qlRateHelperEarliestDate(M11,Trigger),"--")</f>
        <v>42356</v>
      </c>
      <c r="T11" s="103">
        <f>IFERROR(_xll.qlRateHelperPillarDate(M11,Trigger),"--")</f>
        <v>42508</v>
      </c>
      <c r="V11" s="4" t="str">
        <f t="shared" si="1"/>
        <v>BasSw</v>
      </c>
      <c r="W11" s="4" t="str">
        <v>obj_00143</v>
      </c>
      <c r="X11" s="4" t="str">
        <f>IFERROR(_xll.qlRateHelperQuoteName(W11,Trigger),"")</f>
        <v>SEKSB6S3Y_3S6S_Quote</v>
      </c>
      <c r="Y11" s="73" t="str">
        <f>IFERROR(_xll.qlRateHelperRate(W11,Trigger),"")</f>
        <v/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42356</v>
      </c>
      <c r="AB11" s="5">
        <f>IFERROR(_xll.qlRateHelperPillarDate(W11,Trigger),"")</f>
        <v>43452</v>
      </c>
      <c r="AC11" s="81" t="e">
        <v>#NUM!</v>
      </c>
      <c r="AD11" s="190"/>
      <c r="AE11" s="161">
        <v>1</v>
      </c>
      <c r="AF11" s="162">
        <f>_xll.qlCalendarEndOfMonth(Calendar,Settlementdate,Trigger)</f>
        <v>42368</v>
      </c>
      <c r="AG11" s="161" t="str">
        <f t="shared" ref="AG11:AG23" si="8">Currency&amp;$AG$9&amp;AE11&amp;JumpSuffix&amp;QuoteSuffix</f>
        <v>SEKJump1_SYNTHON_Quote</v>
      </c>
      <c r="AH11" s="194">
        <f>_xll.qlDayCounterYearFraction("actual/360",AF11,_xll.qlCalendarAdvance(Calendar,AF11,"1D",,,Trigger))</f>
        <v>1.3888888888888888E-2</v>
      </c>
      <c r="AI11" s="163" t="e">
        <f>IF(_xll.qlQuoteIsValid(AG11,Trigger),_xll.qlQuoteValue(AG11,Trigger),1)</f>
        <v>#NUM!</v>
      </c>
      <c r="AJ11" s="197" t="e">
        <f>-LN(AI11)/AH11</f>
        <v>#NUM!</v>
      </c>
      <c r="AK11" s="202">
        <v>0</v>
      </c>
      <c r="AL11" s="163">
        <f>IF(ISBLANK(AK11),AG11,EXP(-AK11*AH11))</f>
        <v>1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30"/>
      <c r="E12" s="130"/>
      <c r="F12" s="130"/>
      <c r="G12" s="7" t="str">
        <f>PROPER(Currency)&amp;FamilyName&amp;B12</f>
        <v>Sekibor6M</v>
      </c>
      <c r="H12" s="127" t="str">
        <f t="shared" si="0"/>
        <v>SEK6MD_SYNTH6M_Quote</v>
      </c>
      <c r="I12" s="130"/>
      <c r="J12" s="3" t="str">
        <f>_xll.qlDepositRateHelper(,H12,G12,Permanent,Trigger,ObjectOverwrite)</f>
        <v>obj_00155#0000</v>
      </c>
      <c r="K12" s="51" t="s">
        <v>37</v>
      </c>
      <c r="L12" s="11" t="str">
        <f t="shared" si="6"/>
        <v>Dp</v>
      </c>
      <c r="M12" s="99" t="str">
        <f t="shared" si="7"/>
        <v>obj_00155#0000</v>
      </c>
      <c r="N12" s="149" t="str">
        <f>IFERROR(_xll.qlRateHelperQuoteName(M12,Trigger),"--")</f>
        <v>SEK6MD_SYNTH6M_Quote</v>
      </c>
      <c r="O12" s="105" t="str">
        <f>IFERROR(_xll.qlRateHelperQuoteValue($M12,Trigger),"--")</f>
        <v>--</v>
      </c>
      <c r="P12" s="146" t="b">
        <v>1</v>
      </c>
      <c r="Q12" s="99">
        <v>10</v>
      </c>
      <c r="R12" s="99">
        <v>1</v>
      </c>
      <c r="S12" s="106">
        <f>IFERROR(_xll.qlRateHelperEarliestDate(M12,Trigger),"--")</f>
        <v>42356</v>
      </c>
      <c r="T12" s="106">
        <f>IFERROR(_xll.qlRateHelperPillarDate(M12,Trigger),"--")</f>
        <v>42541</v>
      </c>
      <c r="V12" s="4" t="str">
        <f t="shared" si="1"/>
        <v>BasSw</v>
      </c>
      <c r="W12" s="4" t="str">
        <v>obj_0013d</v>
      </c>
      <c r="X12" s="4" t="str">
        <f>IFERROR(_xll.qlRateHelperQuoteName(W12,Trigger),"")</f>
        <v>SEKSB6S4Y_3S6S_Quote</v>
      </c>
      <c r="Y12" s="73" t="str">
        <f>IFERROR(_xll.qlRateHelperRate(W12,Trigger),"")</f>
        <v/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42356</v>
      </c>
      <c r="AB12" s="5">
        <f>IFERROR(_xll.qlRateHelperPillarDate(W12,Trigger),"")</f>
        <v>43817</v>
      </c>
      <c r="AC12" s="81" t="e">
        <v>#NUM!</v>
      </c>
      <c r="AD12" s="190"/>
      <c r="AE12" s="164">
        <v>2</v>
      </c>
      <c r="AF12" s="165">
        <f>_xll.qlCalendarEndOfMonth(Calendar,_xll.qlCalendarAdvance(Calendar,AF11,"1m","mf",TRUE),Trigger)</f>
        <v>42398</v>
      </c>
      <c r="AG12" s="164" t="str">
        <f t="shared" si="8"/>
        <v>SEKJump2_SYNTHON_Quote</v>
      </c>
      <c r="AH12" s="195">
        <f>_xll.qlDayCounterYearFraction("actual/360",AF12,_xll.qlCalendarAdvance(Calendar,AF12,"1D",,,Trigger))</f>
        <v>8.3333333333333332E-3</v>
      </c>
      <c r="AI12" s="166" t="e">
        <f>IF(_xll.qlQuoteIsValid(AG12,Trigger),_xll.qlQuoteValue(AG12,Trigger),1)</f>
        <v>#NUM!</v>
      </c>
      <c r="AJ12" s="198" t="e">
        <f t="shared" ref="AJ12:AJ23" si="9">-LN(AI12)/AH12</f>
        <v>#NUM!</v>
      </c>
      <c r="AK12" s="203">
        <v>0</v>
      </c>
      <c r="AL12" s="166">
        <f t="shared" ref="AL12:AL23" si="10">IF(ISBLANK(AK12),AG12,EXP(-AK12*AH12))</f>
        <v>1</v>
      </c>
    </row>
    <row r="13" spans="1:38" ht="11.25" customHeight="1" x14ac:dyDescent="0.2">
      <c r="B13" s="49"/>
      <c r="C13" s="49"/>
      <c r="D13" s="49"/>
      <c r="E13" s="49"/>
      <c r="F13" s="49" t="s">
        <v>142</v>
      </c>
      <c r="G13" s="49" t="s">
        <v>143</v>
      </c>
      <c r="H13" s="55" t="s">
        <v>144</v>
      </c>
      <c r="K13" s="51"/>
      <c r="L13" s="10" t="str">
        <f>A15</f>
        <v>BasSw</v>
      </c>
      <c r="M13" s="98" t="str">
        <f>IF(ISBLANK(J15),"--",J15)</f>
        <v>--</v>
      </c>
      <c r="N13" s="148" t="str">
        <f>IFERROR(_xll.qlRateHelperQuoteName(M13,Trigger),"--")</f>
        <v>--</v>
      </c>
      <c r="O13" s="102" t="str">
        <f>IFERROR(_xll.qlRateHelperQuoteValue($M13,Trigger),"--")</f>
        <v>--</v>
      </c>
      <c r="P13" s="143" t="b">
        <v>0</v>
      </c>
      <c r="Q13" s="98">
        <v>50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1"/>
        <v>BasSw</v>
      </c>
      <c r="W13" s="4" t="str">
        <v>obj_0014a</v>
      </c>
      <c r="X13" s="4" t="str">
        <f>IFERROR(_xll.qlRateHelperQuoteName(W13,Trigger),"")</f>
        <v>SEKSB6S5Y_3S6S_Quote</v>
      </c>
      <c r="Y13" s="73" t="str">
        <f>IFERROR(_xll.qlRateHelperRate(W13,Trigger),"")</f>
        <v/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42356</v>
      </c>
      <c r="AB13" s="5">
        <f>IFERROR(_xll.qlRateHelperPillarDate(W13,Trigger),"")</f>
        <v>44183</v>
      </c>
      <c r="AC13" s="81" t="e">
        <v>#NUM!</v>
      </c>
      <c r="AD13" s="190"/>
      <c r="AE13" s="164">
        <v>3</v>
      </c>
      <c r="AF13" s="165">
        <f>_xll.qlCalendarEndOfMonth(Calendar,_xll.qlCalendarAdvance(Calendar,AF12,"1m","mf",TRUE),Trigger)</f>
        <v>42429</v>
      </c>
      <c r="AG13" s="164" t="str">
        <f t="shared" si="8"/>
        <v>SEKJump3_SYNTHON_Quote</v>
      </c>
      <c r="AH13" s="195">
        <f>_xll.qlDayCounterYearFraction("actual/360",AF13,_xll.qlCalendarAdvance(Calendar,AF13,"1D",,,Trigger))</f>
        <v>2.7777777777777779E-3</v>
      </c>
      <c r="AI13" s="166" t="e">
        <f>IF(_xll.qlQuoteIsValid(AG13,Trigger),_xll.qlQuoteValue(AG13,Trigger),1)</f>
        <v>#NUM!</v>
      </c>
      <c r="AJ13" s="198" t="e">
        <f t="shared" si="9"/>
        <v>#NUM!</v>
      </c>
      <c r="AK13" s="203">
        <v>0</v>
      </c>
      <c r="AL13" s="166">
        <f t="shared" si="10"/>
        <v>1</v>
      </c>
    </row>
    <row r="14" spans="1:38" ht="11.25" customHeight="1" x14ac:dyDescent="0.2">
      <c r="A14" s="68" t="s">
        <v>9</v>
      </c>
      <c r="B14" s="68" t="s">
        <v>30</v>
      </c>
      <c r="C14" s="68" t="s">
        <v>100</v>
      </c>
      <c r="D14" s="68" t="s">
        <v>5</v>
      </c>
      <c r="E14" s="68" t="s">
        <v>35</v>
      </c>
      <c r="F14" s="68" t="s">
        <v>101</v>
      </c>
      <c r="G14" s="68" t="s">
        <v>4</v>
      </c>
      <c r="H14" s="68" t="s">
        <v>1</v>
      </c>
      <c r="I14" s="68" t="s">
        <v>99</v>
      </c>
      <c r="J14" s="68" t="s">
        <v>25</v>
      </c>
      <c r="K14" s="51"/>
      <c r="L14" s="10" t="str">
        <f t="shared" ref="L14:L39" si="11">A16</f>
        <v>BasSw</v>
      </c>
      <c r="M14" s="98" t="str">
        <f t="shared" ref="M14:M39" si="12">IF(ISBLANK(J16),"--",J16)</f>
        <v>obj_0011c#0000</v>
      </c>
      <c r="N14" s="148" t="str">
        <f>IFERROR(_xll.qlRateHelperQuoteName(M14,Trigger),"--")</f>
        <v>SEKSB6S1Y_3S6S_Quote</v>
      </c>
      <c r="O14" s="102" t="str">
        <f>IFERROR(_xll.qlRateHelperQuoteValue($M14,Trigger),"--")</f>
        <v>--</v>
      </c>
      <c r="P14" s="143" t="b">
        <v>1</v>
      </c>
      <c r="Q14" s="98">
        <v>50</v>
      </c>
      <c r="R14" s="98">
        <v>1</v>
      </c>
      <c r="S14" s="103">
        <f>IFERROR(_xll.qlRateHelperEarliestDate(M14,Trigger),"--")</f>
        <v>42356</v>
      </c>
      <c r="T14" s="103">
        <f>IFERROR(_xll.qlRateHelperPillarDate(M14,Trigger),"--")</f>
        <v>42723</v>
      </c>
      <c r="V14" s="4" t="str">
        <f t="shared" si="1"/>
        <v>BasSw</v>
      </c>
      <c r="W14" s="4" t="str">
        <v>obj_00141</v>
      </c>
      <c r="X14" s="4" t="str">
        <f>IFERROR(_xll.qlRateHelperQuoteName(W14,Trigger),"")</f>
        <v>SEKSB6S6Y_3S6S_Quote</v>
      </c>
      <c r="Y14" s="73" t="str">
        <f>IFERROR(_xll.qlRateHelperRate(W14,Trigger),"")</f>
        <v/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42356</v>
      </c>
      <c r="AB14" s="5">
        <f>IFERROR(_xll.qlRateHelperPillarDate(W14,Trigger),"")</f>
        <v>44550</v>
      </c>
      <c r="AC14" s="81" t="e">
        <v>#NUM!</v>
      </c>
      <c r="AD14" s="190"/>
      <c r="AE14" s="164">
        <v>4</v>
      </c>
      <c r="AF14" s="165">
        <f>_xll.qlCalendarEndOfMonth(Calendar,_xll.qlCalendarAdvance(Calendar,AF13,"1m","mf",TRUE),Trigger)</f>
        <v>42460</v>
      </c>
      <c r="AG14" s="164" t="str">
        <f t="shared" si="8"/>
        <v>SEKJump4_SYNTHON_Quote</v>
      </c>
      <c r="AH14" s="195">
        <f>_xll.qlDayCounterYearFraction("actual/360",AF14,_xll.qlCalendarAdvance(Calendar,AF14,"1D",,,Trigger))</f>
        <v>2.7777777777777779E-3</v>
      </c>
      <c r="AI14" s="166" t="e">
        <f>IF(_xll.qlQuoteIsValid(AG14,Trigger),_xll.qlQuoteValue(AG14,Trigger),1)</f>
        <v>#NUM!</v>
      </c>
      <c r="AJ14" s="198" t="e">
        <f t="shared" si="9"/>
        <v>#NUM!</v>
      </c>
      <c r="AK14" s="203">
        <v>0</v>
      </c>
      <c r="AL14" s="166">
        <f t="shared" si="10"/>
        <v>1</v>
      </c>
    </row>
    <row r="15" spans="1:38" ht="11.25" customHeight="1" x14ac:dyDescent="0.2">
      <c r="A15" s="56" t="s">
        <v>146</v>
      </c>
      <c r="B15" s="57" t="s">
        <v>3</v>
      </c>
      <c r="C15" s="58" t="s">
        <v>6</v>
      </c>
      <c r="D15" s="58" t="s">
        <v>8</v>
      </c>
      <c r="E15" s="58" t="s">
        <v>7</v>
      </c>
      <c r="F15" s="58" t="s">
        <v>116</v>
      </c>
      <c r="G15" s="58" t="str">
        <f t="shared" ref="G15:G41" si="13">PROPER(Currency)&amp;FamilyName&amp;$G$1</f>
        <v>Sekibor6M</v>
      </c>
      <c r="H15" s="56" t="str">
        <f t="shared" ref="H15:H41" si="14">Currency&amp;$F$13&amp;$G$13&amp;$B15&amp;$H$13&amp;QuoteSuffix</f>
        <v>SEKSB6S6M_3S6S_Quote</v>
      </c>
      <c r="I15" s="131">
        <v>0</v>
      </c>
      <c r="J15" s="67"/>
      <c r="K15" s="51"/>
      <c r="L15" s="10" t="str">
        <f t="shared" si="11"/>
        <v>BasSw</v>
      </c>
      <c r="M15" s="98" t="str">
        <f t="shared" si="12"/>
        <v>--</v>
      </c>
      <c r="N15" s="148" t="str">
        <f>IFERROR(_xll.qlRateHelperQuoteName(M15,Trigger),"--")</f>
        <v>--</v>
      </c>
      <c r="O15" s="102" t="str">
        <f>IFERROR(_xll.qlRateHelperQuoteValue($M15,Trigger),"--")</f>
        <v>--</v>
      </c>
      <c r="P15" s="143" t="b">
        <v>0</v>
      </c>
      <c r="Q15" s="98">
        <v>50</v>
      </c>
      <c r="R15" s="98">
        <v>1</v>
      </c>
      <c r="S15" s="103" t="str">
        <f>IFERROR(_xll.qlRateHelperEarliestDate(M15,Trigger),"--")</f>
        <v>--</v>
      </c>
      <c r="T15" s="103" t="str">
        <f>IFERROR(_xll.qlRateHelperPillarDate(M15,Trigger),"--")</f>
        <v>--</v>
      </c>
      <c r="V15" s="4" t="str">
        <f t="shared" si="1"/>
        <v>BasSw</v>
      </c>
      <c r="W15" s="4" t="str">
        <v>obj_0013f</v>
      </c>
      <c r="X15" s="4" t="str">
        <f>IFERROR(_xll.qlRateHelperQuoteName(W15,Trigger),"")</f>
        <v>SEKSB6S7Y_3S6S_Quote</v>
      </c>
      <c r="Y15" s="73" t="str">
        <f>IFERROR(_xll.qlRateHelperRate(W15,Trigger),"")</f>
        <v/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42356</v>
      </c>
      <c r="AB15" s="5">
        <f>IFERROR(_xll.qlRateHelperPillarDate(W15,Trigger),"")</f>
        <v>44914</v>
      </c>
      <c r="AC15" s="81" t="e">
        <v>#NUM!</v>
      </c>
      <c r="AD15" s="190"/>
      <c r="AE15" s="164">
        <v>5</v>
      </c>
      <c r="AF15" s="165">
        <f>_xll.qlCalendarEndOfMonth(Calendar,_xll.qlCalendarAdvance(Calendar,AF14,"1m","mf",TRUE),Trigger)</f>
        <v>42489</v>
      </c>
      <c r="AG15" s="164" t="str">
        <f t="shared" si="8"/>
        <v>SEKJump5_SYNTHON_Quote</v>
      </c>
      <c r="AH15" s="195">
        <f>_xll.qlDayCounterYearFraction("actual/360",AF15,_xll.qlCalendarAdvance(Calendar,AF15,"1D",,,Trigger))</f>
        <v>8.3333333333333332E-3</v>
      </c>
      <c r="AI15" s="166" t="e">
        <f>IF(_xll.qlQuoteIsValid(AG15,Trigger),_xll.qlQuoteValue(AG15,Trigger),1)</f>
        <v>#NUM!</v>
      </c>
      <c r="AJ15" s="198" t="e">
        <f t="shared" si="9"/>
        <v>#NUM!</v>
      </c>
      <c r="AK15" s="203">
        <v>0</v>
      </c>
      <c r="AL15" s="166">
        <f t="shared" si="10"/>
        <v>1</v>
      </c>
    </row>
    <row r="16" spans="1:38" ht="11.25" customHeight="1" x14ac:dyDescent="0.2">
      <c r="A16" s="62" t="s">
        <v>146</v>
      </c>
      <c r="B16" s="63" t="s">
        <v>29</v>
      </c>
      <c r="C16" s="64" t="s">
        <v>6</v>
      </c>
      <c r="D16" s="64" t="s">
        <v>8</v>
      </c>
      <c r="E16" s="64" t="s">
        <v>7</v>
      </c>
      <c r="F16" s="64" t="s">
        <v>116</v>
      </c>
      <c r="G16" s="64" t="str">
        <f t="shared" si="13"/>
        <v>Sekibor6M</v>
      </c>
      <c r="H16" s="62" t="str">
        <f t="shared" si="14"/>
        <v>SEKSB6S1Y_3S6S_Quote</v>
      </c>
      <c r="I16" s="132">
        <v>0</v>
      </c>
      <c r="J16" s="67" t="str">
        <f>_xll.qlSwapRateHelper2(,H16,2,B16,Calendar,D16,E16,F16,G16,I16,C16,Discounting,PillarDate,,Permanent,Trigger,ObjectOverwrite)</f>
        <v>obj_0011c#0000</v>
      </c>
      <c r="K16" s="51"/>
      <c r="L16" s="10" t="str">
        <f t="shared" si="11"/>
        <v>BasSw</v>
      </c>
      <c r="M16" s="98" t="str">
        <f t="shared" si="12"/>
        <v>--</v>
      </c>
      <c r="N16" s="148" t="str">
        <f>IFERROR(_xll.qlRateHelperQuoteName(M16,Trigger),"--")</f>
        <v>--</v>
      </c>
      <c r="O16" s="102" t="str">
        <f>IFERROR(_xll.qlRateHelperQuoteValue($M16,Trigger),"--")</f>
        <v>--</v>
      </c>
      <c r="P16" s="143" t="b">
        <v>0</v>
      </c>
      <c r="Q16" s="98">
        <v>50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1"/>
        <v>BasSw</v>
      </c>
      <c r="W16" s="4" t="str">
        <v>obj_00147</v>
      </c>
      <c r="X16" s="4" t="str">
        <f>IFERROR(_xll.qlRateHelperQuoteName(W16,Trigger),"")</f>
        <v>SEKSB6S8Y_3S6S_Quote</v>
      </c>
      <c r="Y16" s="73" t="str">
        <f>IFERROR(_xll.qlRateHelperRate(W16,Trigger),"")</f>
        <v/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42356</v>
      </c>
      <c r="AB16" s="5">
        <f>IFERROR(_xll.qlRateHelperPillarDate(W16,Trigger),"")</f>
        <v>45278</v>
      </c>
      <c r="AC16" s="81" t="e">
        <v>#NUM!</v>
      </c>
      <c r="AD16" s="190"/>
      <c r="AE16" s="164">
        <v>6</v>
      </c>
      <c r="AF16" s="165">
        <f>_xll.qlCalendarEndOfMonth(Calendar,_xll.qlCalendarAdvance(Calendar,AF15,"1m","mf",TRUE),Trigger)</f>
        <v>42521</v>
      </c>
      <c r="AG16" s="164" t="str">
        <f t="shared" si="8"/>
        <v>SEKJump6_SYNTHON_Quote</v>
      </c>
      <c r="AH16" s="195">
        <f>_xll.qlDayCounterYearFraction("actual/360",AF16,_xll.qlCalendarAdvance(Calendar,AF16,"1D",,,Trigger))</f>
        <v>2.7777777777777779E-3</v>
      </c>
      <c r="AI16" s="166" t="e">
        <f>IF(_xll.qlQuoteIsValid(AG16,Trigger),_xll.qlQuoteValue(AG16,Trigger),1)</f>
        <v>#NUM!</v>
      </c>
      <c r="AJ16" s="198" t="e">
        <f t="shared" si="9"/>
        <v>#NUM!</v>
      </c>
      <c r="AK16" s="203">
        <v>0</v>
      </c>
      <c r="AL16" s="166">
        <f t="shared" si="10"/>
        <v>1</v>
      </c>
    </row>
    <row r="17" spans="1:38" ht="11.25" customHeight="1" x14ac:dyDescent="0.2">
      <c r="A17" s="62" t="s">
        <v>146</v>
      </c>
      <c r="B17" s="63" t="s">
        <v>50</v>
      </c>
      <c r="C17" s="64" t="s">
        <v>6</v>
      </c>
      <c r="D17" s="64" t="s">
        <v>8</v>
      </c>
      <c r="E17" s="64" t="s">
        <v>7</v>
      </c>
      <c r="F17" s="64" t="s">
        <v>116</v>
      </c>
      <c r="G17" s="64" t="str">
        <f t="shared" si="13"/>
        <v>Sekibor6M</v>
      </c>
      <c r="H17" s="62" t="str">
        <f t="shared" si="14"/>
        <v>SEKSB6S15M_3S6S_Quote</v>
      </c>
      <c r="I17" s="132">
        <v>0</v>
      </c>
      <c r="J17" s="67"/>
      <c r="K17" s="51"/>
      <c r="L17" s="10" t="str">
        <f t="shared" si="11"/>
        <v>BasSw</v>
      </c>
      <c r="M17" s="98" t="str">
        <f t="shared" si="12"/>
        <v>--</v>
      </c>
      <c r="N17" s="148" t="str">
        <f>IFERROR(_xll.qlRateHelperQuoteName(M17,Trigger),"--")</f>
        <v>--</v>
      </c>
      <c r="O17" s="102" t="str">
        <f>IFERROR(_xll.qlRateHelperQuoteValue($M17,Trigger),"--")</f>
        <v>--</v>
      </c>
      <c r="P17" s="143" t="b">
        <v>0</v>
      </c>
      <c r="Q17" s="98">
        <v>50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1"/>
        <v>BasSw</v>
      </c>
      <c r="W17" s="4" t="str">
        <v>obj_00140</v>
      </c>
      <c r="X17" s="4" t="str">
        <f>IFERROR(_xll.qlRateHelperQuoteName(W17,Trigger),"")</f>
        <v>SEKSB6S9Y_3S6S_Quote</v>
      </c>
      <c r="Y17" s="73" t="str">
        <f>IFERROR(_xll.qlRateHelperRate(W17,Trigger),"")</f>
        <v/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42356</v>
      </c>
      <c r="AB17" s="5">
        <f>IFERROR(_xll.qlRateHelperPillarDate(W17,Trigger),"")</f>
        <v>45644</v>
      </c>
      <c r="AC17" s="81" t="e">
        <v>#NUM!</v>
      </c>
      <c r="AD17" s="190"/>
      <c r="AE17" s="164">
        <v>7</v>
      </c>
      <c r="AF17" s="165">
        <f>_xll.qlCalendarEndOfMonth(Calendar,_xll.qlCalendarAdvance(Calendar,AF16,"1m","mf",TRUE),Trigger)</f>
        <v>42551</v>
      </c>
      <c r="AG17" s="164" t="str">
        <f t="shared" si="8"/>
        <v>SEKJump7_SYNTHON_Quote</v>
      </c>
      <c r="AH17" s="195">
        <f>_xll.qlDayCounterYearFraction("actual/360",AF17,_xll.qlCalendarAdvance(Calendar,AF17,"1D",,,Trigger))</f>
        <v>2.7777777777777779E-3</v>
      </c>
      <c r="AI17" s="166" t="e">
        <f>IF(_xll.qlQuoteIsValid(AG17,Trigger),_xll.qlQuoteValue(AG17,Trigger),1)</f>
        <v>#NUM!</v>
      </c>
      <c r="AJ17" s="198" t="e">
        <f t="shared" si="9"/>
        <v>#NUM!</v>
      </c>
      <c r="AK17" s="203">
        <v>0</v>
      </c>
      <c r="AL17" s="166">
        <f t="shared" si="10"/>
        <v>1</v>
      </c>
    </row>
    <row r="18" spans="1:38" ht="11.25" customHeight="1" x14ac:dyDescent="0.2">
      <c r="A18" s="62" t="s">
        <v>146</v>
      </c>
      <c r="B18" s="63" t="s">
        <v>51</v>
      </c>
      <c r="C18" s="64" t="s">
        <v>6</v>
      </c>
      <c r="D18" s="64" t="s">
        <v>8</v>
      </c>
      <c r="E18" s="64" t="s">
        <v>7</v>
      </c>
      <c r="F18" s="64" t="s">
        <v>116</v>
      </c>
      <c r="G18" s="64" t="str">
        <f t="shared" si="13"/>
        <v>Sekibor6M</v>
      </c>
      <c r="H18" s="62" t="str">
        <f t="shared" si="14"/>
        <v>SEKSB6S18M_3S6S_Quote</v>
      </c>
      <c r="I18" s="132">
        <v>0</v>
      </c>
      <c r="J18" s="67"/>
      <c r="K18" s="51"/>
      <c r="L18" s="10" t="str">
        <f t="shared" si="11"/>
        <v>BasSw</v>
      </c>
      <c r="M18" s="98" t="str">
        <f t="shared" si="12"/>
        <v>obj_00146#0000</v>
      </c>
      <c r="N18" s="148" t="str">
        <f>IFERROR(_xll.qlRateHelperQuoteName(M18,Trigger),"--")</f>
        <v>SEKSB6S2Y_3S6S_Quote</v>
      </c>
      <c r="O18" s="102" t="str">
        <f>IFERROR(_xll.qlRateHelperQuoteValue($M18,Trigger),"--")</f>
        <v>--</v>
      </c>
      <c r="P18" s="143" t="b">
        <v>1</v>
      </c>
      <c r="Q18" s="98">
        <v>50</v>
      </c>
      <c r="R18" s="98">
        <v>1</v>
      </c>
      <c r="S18" s="103">
        <f>IFERROR(_xll.qlRateHelperEarliestDate(M18,Trigger),"--")</f>
        <v>42356</v>
      </c>
      <c r="T18" s="103">
        <f>IFERROR(_xll.qlRateHelperPillarDate(M18,Trigger),"--")</f>
        <v>43087</v>
      </c>
      <c r="V18" s="4" t="str">
        <f t="shared" si="1"/>
        <v>BasSw</v>
      </c>
      <c r="W18" s="4" t="str">
        <v>obj_00149</v>
      </c>
      <c r="X18" s="4" t="str">
        <f>IFERROR(_xll.qlRateHelperQuoteName(W18,Trigger),"")</f>
        <v>SEKSB6S10Y_3S6S_Quote</v>
      </c>
      <c r="Y18" s="73" t="str">
        <f>IFERROR(_xll.qlRateHelperRate(W18,Trigger),"")</f>
        <v/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42356</v>
      </c>
      <c r="AB18" s="5">
        <f>IFERROR(_xll.qlRateHelperPillarDate(W18,Trigger),"")</f>
        <v>46009</v>
      </c>
      <c r="AC18" s="81" t="e">
        <v>#NUM!</v>
      </c>
      <c r="AD18" s="190"/>
      <c r="AE18" s="164">
        <v>8</v>
      </c>
      <c r="AF18" s="165">
        <f>_xll.qlCalendarEndOfMonth(Calendar,_xll.qlCalendarAdvance(Calendar,AF17,"1m","mf",TRUE),Trigger)</f>
        <v>42580</v>
      </c>
      <c r="AG18" s="164" t="str">
        <f t="shared" si="8"/>
        <v>SEKJump8_SYNTHON_Quote</v>
      </c>
      <c r="AH18" s="195">
        <f>_xll.qlDayCounterYearFraction("actual/360",AF18,_xll.qlCalendarAdvance(Calendar,AF18,"1D",,,Trigger))</f>
        <v>8.3333333333333332E-3</v>
      </c>
      <c r="AI18" s="166" t="e">
        <f>IF(_xll.qlQuoteIsValid(AG18,Trigger),_xll.qlQuoteValue(AG18,Trigger),1)</f>
        <v>#NUM!</v>
      </c>
      <c r="AJ18" s="198" t="e">
        <f t="shared" si="9"/>
        <v>#NUM!</v>
      </c>
      <c r="AK18" s="203">
        <v>0</v>
      </c>
      <c r="AL18" s="166">
        <f t="shared" si="10"/>
        <v>1</v>
      </c>
    </row>
    <row r="19" spans="1:38" ht="11.25" customHeight="1" x14ac:dyDescent="0.2">
      <c r="A19" s="62" t="s">
        <v>146</v>
      </c>
      <c r="B19" s="63" t="s">
        <v>52</v>
      </c>
      <c r="C19" s="64" t="s">
        <v>6</v>
      </c>
      <c r="D19" s="64" t="s">
        <v>8</v>
      </c>
      <c r="E19" s="64" t="s">
        <v>7</v>
      </c>
      <c r="F19" s="64" t="s">
        <v>116</v>
      </c>
      <c r="G19" s="64" t="str">
        <f t="shared" si="13"/>
        <v>Sekibor6M</v>
      </c>
      <c r="H19" s="62" t="str">
        <f t="shared" si="14"/>
        <v>SEKSB6S21M_3S6S_Quote</v>
      </c>
      <c r="I19" s="132">
        <v>0</v>
      </c>
      <c r="J19" s="67"/>
      <c r="K19" s="51"/>
      <c r="L19" s="10" t="str">
        <f t="shared" si="11"/>
        <v>BasSw</v>
      </c>
      <c r="M19" s="98" t="str">
        <f t="shared" si="12"/>
        <v>--</v>
      </c>
      <c r="N19" s="148" t="str">
        <f>IFERROR(_xll.qlRateHelperQuoteName(M19,Trigger),"--")</f>
        <v>--</v>
      </c>
      <c r="O19" s="102" t="str">
        <f>IFERROR(_xll.qlRateHelperQuoteValue($M19,Trigger),"--")</f>
        <v>--</v>
      </c>
      <c r="P19" s="143" t="b">
        <v>0</v>
      </c>
      <c r="Q19" s="98">
        <v>50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1"/>
        <v>BasSw</v>
      </c>
      <c r="W19" s="4" t="str">
        <v>obj_0014c</v>
      </c>
      <c r="X19" s="4" t="str">
        <f>IFERROR(_xll.qlRateHelperQuoteName(W19,Trigger),"")</f>
        <v>SEKSB6S12Y_3S6S_Quote</v>
      </c>
      <c r="Y19" s="73" t="str">
        <f>IFERROR(_xll.qlRateHelperRate(W19,Trigger),"")</f>
        <v/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42356</v>
      </c>
      <c r="AB19" s="5">
        <f>IFERROR(_xll.qlRateHelperPillarDate(W19,Trigger),"")</f>
        <v>46741</v>
      </c>
      <c r="AC19" s="81" t="e">
        <v>#NUM!</v>
      </c>
      <c r="AD19" s="190"/>
      <c r="AE19" s="164">
        <v>9</v>
      </c>
      <c r="AF19" s="165">
        <f>_xll.qlCalendarEndOfMonth(Calendar,_xll.qlCalendarAdvance(Calendar,AF18,"1m","mf",TRUE),Trigger)</f>
        <v>42613</v>
      </c>
      <c r="AG19" s="164" t="str">
        <f t="shared" si="8"/>
        <v>SEKJump9_SYNTHON_Quote</v>
      </c>
      <c r="AH19" s="195">
        <f>_xll.qlDayCounterYearFraction("actual/360",AF19,_xll.qlCalendarAdvance(Calendar,AF19,"1D",,,Trigger))</f>
        <v>2.7777777777777779E-3</v>
      </c>
      <c r="AI19" s="166" t="e">
        <f>IF(_xll.qlQuoteIsValid(AG19,Trigger),_xll.qlQuoteValue(AG19,Trigger),1)</f>
        <v>#NUM!</v>
      </c>
      <c r="AJ19" s="198" t="e">
        <f t="shared" si="9"/>
        <v>#NUM!</v>
      </c>
      <c r="AK19" s="203">
        <v>0</v>
      </c>
      <c r="AL19" s="166">
        <f t="shared" si="10"/>
        <v>1</v>
      </c>
    </row>
    <row r="20" spans="1:38" ht="11.25" customHeight="1" x14ac:dyDescent="0.2">
      <c r="A20" s="62" t="s">
        <v>146</v>
      </c>
      <c r="B20" s="63" t="s">
        <v>53</v>
      </c>
      <c r="C20" s="64" t="s">
        <v>6</v>
      </c>
      <c r="D20" s="64" t="s">
        <v>8</v>
      </c>
      <c r="E20" s="64" t="s">
        <v>7</v>
      </c>
      <c r="F20" s="64" t="s">
        <v>116</v>
      </c>
      <c r="G20" s="64" t="str">
        <f t="shared" si="13"/>
        <v>Sekibor6M</v>
      </c>
      <c r="H20" s="62" t="str">
        <f t="shared" si="14"/>
        <v>SEKSB6S2Y_3S6S_Quote</v>
      </c>
      <c r="I20" s="132">
        <v>0</v>
      </c>
      <c r="J20" s="67" t="str">
        <f>_xll.qlSwapRateHelper2(,H20,2,B20,Calendar,D20,E20,F20,G20,I20,C20,Discounting,PillarDate,,Permanent,Trigger,ObjectOverwrite)</f>
        <v>obj_00146#0000</v>
      </c>
      <c r="K20" s="51"/>
      <c r="L20" s="10" t="str">
        <f t="shared" si="11"/>
        <v>BasSw</v>
      </c>
      <c r="M20" s="98" t="str">
        <f t="shared" si="12"/>
        <v>--</v>
      </c>
      <c r="N20" s="148" t="str">
        <f>IFERROR(_xll.qlRateHelperQuoteName(M20,Trigger),"--")</f>
        <v>--</v>
      </c>
      <c r="O20" s="102" t="str">
        <f>IFERROR(_xll.qlRateHelperQuoteValue($M20,Trigger),"--")</f>
        <v>--</v>
      </c>
      <c r="P20" s="143" t="b">
        <v>0</v>
      </c>
      <c r="Q20" s="98">
        <v>50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1"/>
        <v>BasSw</v>
      </c>
      <c r="W20" s="4" t="str">
        <v>obj_0013b</v>
      </c>
      <c r="X20" s="4" t="str">
        <f>IFERROR(_xll.qlRateHelperQuoteName(W20,Trigger),"")</f>
        <v>SEKSB6S15Y_3S6S_Quote</v>
      </c>
      <c r="Y20" s="73" t="str">
        <f>IFERROR(_xll.qlRateHelperRate(W20,Trigger),"")</f>
        <v/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42356</v>
      </c>
      <c r="AB20" s="5">
        <f>IFERROR(_xll.qlRateHelperPillarDate(W20,Trigger),"")</f>
        <v>47835</v>
      </c>
      <c r="AC20" s="81" t="e">
        <v>#NUM!</v>
      </c>
      <c r="AD20" s="190"/>
      <c r="AE20" s="164">
        <v>10</v>
      </c>
      <c r="AF20" s="165">
        <f>_xll.qlCalendarEndOfMonth(Calendar,_xll.qlCalendarAdvance(Calendar,AF19,"1m","mf",TRUE),Trigger)</f>
        <v>42643</v>
      </c>
      <c r="AG20" s="164" t="str">
        <f t="shared" si="8"/>
        <v>SEKJump10_SYNTHON_Quote</v>
      </c>
      <c r="AH20" s="195">
        <f>_xll.qlDayCounterYearFraction("actual/360",AF20,_xll.qlCalendarAdvance(Calendar,AF20,"1D",,,Trigger))</f>
        <v>8.3333333333333332E-3</v>
      </c>
      <c r="AI20" s="166" t="e">
        <f>IF(_xll.qlQuoteIsValid(AG20,Trigger),_xll.qlQuoteValue(AG20,Trigger),1)</f>
        <v>#NUM!</v>
      </c>
      <c r="AJ20" s="198" t="e">
        <f t="shared" si="9"/>
        <v>#NUM!</v>
      </c>
      <c r="AK20" s="203">
        <v>0</v>
      </c>
      <c r="AL20" s="166">
        <f t="shared" si="10"/>
        <v>1</v>
      </c>
    </row>
    <row r="21" spans="1:38" ht="11.25" customHeight="1" x14ac:dyDescent="0.2">
      <c r="A21" s="62" t="s">
        <v>146</v>
      </c>
      <c r="B21" s="63" t="s">
        <v>130</v>
      </c>
      <c r="C21" s="64" t="s">
        <v>6</v>
      </c>
      <c r="D21" s="64" t="s">
        <v>8</v>
      </c>
      <c r="E21" s="64" t="s">
        <v>7</v>
      </c>
      <c r="F21" s="64" t="s">
        <v>116</v>
      </c>
      <c r="G21" s="64" t="str">
        <f t="shared" si="13"/>
        <v>Sekibor6M</v>
      </c>
      <c r="H21" s="62" t="str">
        <f t="shared" si="14"/>
        <v>SEKSB6S27M_3S6S_Quote</v>
      </c>
      <c r="I21" s="132">
        <v>0</v>
      </c>
      <c r="J21" s="67"/>
      <c r="K21" s="51"/>
      <c r="L21" s="10" t="str">
        <f t="shared" si="11"/>
        <v>BasSw</v>
      </c>
      <c r="M21" s="98" t="str">
        <f t="shared" si="12"/>
        <v>--</v>
      </c>
      <c r="N21" s="148" t="str">
        <f>IFERROR(_xll.qlRateHelperQuoteName(M21,Trigger),"--")</f>
        <v>--</v>
      </c>
      <c r="O21" s="102" t="str">
        <f>IFERROR(_xll.qlRateHelperQuoteValue($M21,Trigger),"--")</f>
        <v>--</v>
      </c>
      <c r="P21" s="143" t="b">
        <v>0</v>
      </c>
      <c r="Q21" s="98">
        <v>50</v>
      </c>
      <c r="R21" s="98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1"/>
        <v>BasSw</v>
      </c>
      <c r="W21" s="4" t="str">
        <v>obj_00144</v>
      </c>
      <c r="X21" s="4" t="str">
        <f>IFERROR(_xll.qlRateHelperQuoteName(W21,Trigger),"")</f>
        <v>SEKSB6S20Y_3S6S_Quote</v>
      </c>
      <c r="Y21" s="73" t="str">
        <f>IFERROR(_xll.qlRateHelperRate(W21,Trigger),"")</f>
        <v/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42356</v>
      </c>
      <c r="AB21" s="5">
        <f>IFERROR(_xll.qlRateHelperPillarDate(W21,Trigger),"")</f>
        <v>49661</v>
      </c>
      <c r="AC21" s="81" t="e">
        <v>#NUM!</v>
      </c>
      <c r="AD21" s="190"/>
      <c r="AE21" s="164">
        <v>11</v>
      </c>
      <c r="AF21" s="165">
        <f>_xll.qlCalendarEndOfMonth(Calendar,_xll.qlCalendarAdvance(Calendar,AF20,"1m","mf",TRUE),Trigger)</f>
        <v>42674</v>
      </c>
      <c r="AG21" s="164" t="str">
        <f t="shared" si="8"/>
        <v>SEKJump11_SYNTHON_Quote</v>
      </c>
      <c r="AH21" s="195">
        <f>_xll.qlDayCounterYearFraction("actual/360",AF21,_xll.qlCalendarAdvance(Calendar,AF21,"1D",,,Trigger))</f>
        <v>2.7777777777777779E-3</v>
      </c>
      <c r="AI21" s="166" t="e">
        <f>IF(_xll.qlQuoteIsValid(AG21,Trigger),_xll.qlQuoteValue(AG21,Trigger),1)</f>
        <v>#NUM!</v>
      </c>
      <c r="AJ21" s="198" t="e">
        <f t="shared" si="9"/>
        <v>#NUM!</v>
      </c>
      <c r="AK21" s="203">
        <v>0</v>
      </c>
      <c r="AL21" s="166">
        <f t="shared" si="10"/>
        <v>1</v>
      </c>
    </row>
    <row r="22" spans="1:38" ht="11.25" customHeight="1" x14ac:dyDescent="0.2">
      <c r="A22" s="62" t="s">
        <v>146</v>
      </c>
      <c r="B22" s="63" t="s">
        <v>131</v>
      </c>
      <c r="C22" s="64" t="s">
        <v>6</v>
      </c>
      <c r="D22" s="64" t="s">
        <v>8</v>
      </c>
      <c r="E22" s="64" t="s">
        <v>7</v>
      </c>
      <c r="F22" s="64" t="s">
        <v>116</v>
      </c>
      <c r="G22" s="64" t="str">
        <f t="shared" si="13"/>
        <v>Sekibor6M</v>
      </c>
      <c r="H22" s="62" t="str">
        <f t="shared" si="14"/>
        <v>SEKSB6S30M_3S6S_Quote</v>
      </c>
      <c r="I22" s="132">
        <v>0</v>
      </c>
      <c r="J22" s="67"/>
      <c r="K22" s="51"/>
      <c r="L22" s="10" t="str">
        <f t="shared" si="11"/>
        <v>BasSw</v>
      </c>
      <c r="M22" s="98" t="str">
        <f t="shared" si="12"/>
        <v>obj_00143#0000</v>
      </c>
      <c r="N22" s="148" t="str">
        <f>IFERROR(_xll.qlRateHelperQuoteName(M22,Trigger),"--")</f>
        <v>SEKSB6S3Y_3S6S_Quote</v>
      </c>
      <c r="O22" s="102" t="str">
        <f>IFERROR(_xll.qlRateHelperQuoteValue($M22,Trigger),"--")</f>
        <v>--</v>
      </c>
      <c r="P22" s="143" t="b">
        <v>1</v>
      </c>
      <c r="Q22" s="98">
        <v>50</v>
      </c>
      <c r="R22" s="98">
        <v>1</v>
      </c>
      <c r="S22" s="103">
        <f>IFERROR(_xll.qlRateHelperEarliestDate(M22,Trigger),"--")</f>
        <v>42356</v>
      </c>
      <c r="T22" s="103">
        <f>IFERROR(_xll.qlRateHelperPillarDate(M22,Trigger),"--")</f>
        <v>43452</v>
      </c>
      <c r="V22" s="4" t="str">
        <f t="shared" si="1"/>
        <v>BasSw</v>
      </c>
      <c r="W22" s="4" t="str">
        <v>obj_00142</v>
      </c>
      <c r="X22" s="4" t="str">
        <f>IFERROR(_xll.qlRateHelperQuoteName(W22,Trigger),"")</f>
        <v>SEKSB6S25Y_3S6S_Quote</v>
      </c>
      <c r="Y22" s="73" t="str">
        <f>IFERROR(_xll.qlRateHelperRate(W22,Trigger),"")</f>
        <v/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42356</v>
      </c>
      <c r="AB22" s="5">
        <f>IFERROR(_xll.qlRateHelperPillarDate(W22,Trigger),"")</f>
        <v>51488</v>
      </c>
      <c r="AC22" s="81" t="e">
        <v>#NUM!</v>
      </c>
      <c r="AD22" s="190"/>
      <c r="AE22" s="164">
        <v>12</v>
      </c>
      <c r="AF22" s="165">
        <f>_xll.qlCalendarEndOfMonth(Calendar,_xll.qlCalendarAdvance(Calendar,AF21,"1m","mf",TRUE),Trigger)</f>
        <v>42704</v>
      </c>
      <c r="AG22" s="164" t="str">
        <f t="shared" si="8"/>
        <v>SEKJump12_SYNTHON_Quote</v>
      </c>
      <c r="AH22" s="195">
        <f>_xll.qlDayCounterYearFraction("actual/360",AF22,_xll.qlCalendarAdvance(Calendar,AF22,"1D",,,Trigger))</f>
        <v>2.7777777777777779E-3</v>
      </c>
      <c r="AI22" s="166" t="e">
        <f>IF(_xll.qlQuoteIsValid(AG22,Trigger),_xll.qlQuoteValue(AG22,Trigger),1)</f>
        <v>#NUM!</v>
      </c>
      <c r="AJ22" s="198" t="e">
        <f t="shared" si="9"/>
        <v>#NUM!</v>
      </c>
      <c r="AK22" s="203">
        <v>0</v>
      </c>
      <c r="AL22" s="166">
        <f t="shared" si="10"/>
        <v>1</v>
      </c>
    </row>
    <row r="23" spans="1:38" ht="11.25" customHeight="1" x14ac:dyDescent="0.2">
      <c r="A23" s="62" t="s">
        <v>146</v>
      </c>
      <c r="B23" s="63" t="s">
        <v>132</v>
      </c>
      <c r="C23" s="64" t="s">
        <v>6</v>
      </c>
      <c r="D23" s="64" t="s">
        <v>8</v>
      </c>
      <c r="E23" s="64" t="s">
        <v>7</v>
      </c>
      <c r="F23" s="64" t="s">
        <v>116</v>
      </c>
      <c r="G23" s="64" t="str">
        <f t="shared" si="13"/>
        <v>Sekibor6M</v>
      </c>
      <c r="H23" s="62" t="str">
        <f t="shared" si="14"/>
        <v>SEKSB6S33M_3S6S_Quote</v>
      </c>
      <c r="I23" s="132">
        <v>0</v>
      </c>
      <c r="J23" s="67"/>
      <c r="K23" s="51"/>
      <c r="L23" s="10" t="str">
        <f t="shared" si="11"/>
        <v>BasSw</v>
      </c>
      <c r="M23" s="98" t="str">
        <f t="shared" si="12"/>
        <v>obj_0013d#0000</v>
      </c>
      <c r="N23" s="148" t="str">
        <f>IFERROR(_xll.qlRateHelperQuoteName(M23,Trigger),"--")</f>
        <v>SEKSB6S4Y_3S6S_Quote</v>
      </c>
      <c r="O23" s="102" t="str">
        <f>IFERROR(_xll.qlRateHelperQuoteValue($M23,Trigger),"--")</f>
        <v>--</v>
      </c>
      <c r="P23" s="143" t="b">
        <v>1</v>
      </c>
      <c r="Q23" s="98">
        <v>50</v>
      </c>
      <c r="R23" s="98">
        <v>1</v>
      </c>
      <c r="S23" s="103">
        <f>IFERROR(_xll.qlRateHelperEarliestDate(M23,Trigger),"--")</f>
        <v>42356</v>
      </c>
      <c r="T23" s="103">
        <f>IFERROR(_xll.qlRateHelperPillarDate(M23,Trigger),"--")</f>
        <v>43817</v>
      </c>
      <c r="V23" s="4" t="str">
        <f t="shared" si="1"/>
        <v>BasSw</v>
      </c>
      <c r="W23" s="4" t="str">
        <v>obj_0013e</v>
      </c>
      <c r="X23" s="4" t="str">
        <f>IFERROR(_xll.qlRateHelperQuoteName(W23,Trigger),"")</f>
        <v>SEKSB6S30Y_3S6S_Quote</v>
      </c>
      <c r="Y23" s="73" t="str">
        <f>IFERROR(_xll.qlRateHelperRate(W23,Trigger),"")</f>
        <v/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42356</v>
      </c>
      <c r="AB23" s="5">
        <f>IFERROR(_xll.qlRateHelperPillarDate(W23,Trigger),"")</f>
        <v>53314</v>
      </c>
      <c r="AC23" s="81" t="e">
        <v>#NUM!</v>
      </c>
      <c r="AD23" s="190"/>
      <c r="AE23" s="167">
        <v>13</v>
      </c>
      <c r="AF23" s="168">
        <f>_xll.qlCalendarAdjust(Calendar,DATE(YEAR(AF11)+1,12,31),"preceding",Trigger)</f>
        <v>42734</v>
      </c>
      <c r="AG23" s="167" t="str">
        <f t="shared" si="8"/>
        <v>SEKJump13_SYNTHON_Quote</v>
      </c>
      <c r="AH23" s="196">
        <f>_xll.qlDayCounterYearFraction("actual/360",AF23,_xll.qlCalendarAdvance(Calendar,AF23,"1D",,,Trigger))</f>
        <v>8.3333333333333332E-3</v>
      </c>
      <c r="AI23" s="169" t="e">
        <f>IF(_xll.qlQuoteIsValid(AG23,Trigger),_xll.qlQuoteValue(AG23,Trigger),1)</f>
        <v>#NUM!</v>
      </c>
      <c r="AJ23" s="199" t="e">
        <f t="shared" si="9"/>
        <v>#NUM!</v>
      </c>
      <c r="AK23" s="204">
        <v>0</v>
      </c>
      <c r="AL23" s="169">
        <f t="shared" si="10"/>
        <v>1</v>
      </c>
    </row>
    <row r="24" spans="1:38" ht="11.25" customHeight="1" x14ac:dyDescent="0.2">
      <c r="A24" s="62" t="s">
        <v>146</v>
      </c>
      <c r="B24" s="63" t="s">
        <v>54</v>
      </c>
      <c r="C24" s="64" t="s">
        <v>6</v>
      </c>
      <c r="D24" s="64" t="s">
        <v>8</v>
      </c>
      <c r="E24" s="64" t="s">
        <v>7</v>
      </c>
      <c r="F24" s="64" t="s">
        <v>116</v>
      </c>
      <c r="G24" s="64" t="str">
        <f t="shared" si="13"/>
        <v>Sekibor6M</v>
      </c>
      <c r="H24" s="62" t="str">
        <f t="shared" si="14"/>
        <v>SEKSB6S3Y_3S6S_Quote</v>
      </c>
      <c r="I24" s="132">
        <v>0</v>
      </c>
      <c r="J24" s="67" t="str">
        <f>_xll.qlSwapRateHelper2(,H24,2,B24,Calendar,D24,E24,F24,G24,I24,C24,Discounting,PillarDate,,Permanent,Trigger,ObjectOverwrite)</f>
        <v>obj_00143#0000</v>
      </c>
      <c r="K24" s="51"/>
      <c r="L24" s="10" t="str">
        <f t="shared" si="11"/>
        <v>BasSw</v>
      </c>
      <c r="M24" s="98" t="str">
        <f t="shared" si="12"/>
        <v>obj_0014a#0000</v>
      </c>
      <c r="N24" s="148" t="str">
        <f>IFERROR(_xll.qlRateHelperQuoteName(M24,Trigger),"--")</f>
        <v>SEKSB6S5Y_3S6S_Quote</v>
      </c>
      <c r="O24" s="102" t="str">
        <f>IFERROR(_xll.qlRateHelperQuoteValue($M24,Trigger),"--")</f>
        <v>--</v>
      </c>
      <c r="P24" s="143" t="b">
        <v>1</v>
      </c>
      <c r="Q24" s="98">
        <v>50</v>
      </c>
      <c r="R24" s="98">
        <v>1</v>
      </c>
      <c r="S24" s="103">
        <f>IFERROR(_xll.qlRateHelperEarliestDate(M24,Trigger),"--")</f>
        <v>42356</v>
      </c>
      <c r="T24" s="103">
        <f>IFERROR(_xll.qlRateHelperPillarDate(M24,Trigger),"--")</f>
        <v>44183</v>
      </c>
      <c r="V24" s="4" t="str">
        <f t="shared" si="1"/>
        <v/>
      </c>
      <c r="W24" s="4" t="e">
        <v>#N/A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#NUM!</v>
      </c>
      <c r="AD24" s="190"/>
    </row>
    <row r="25" spans="1:38" ht="11.25" customHeight="1" x14ac:dyDescent="0.2">
      <c r="A25" s="62" t="s">
        <v>146</v>
      </c>
      <c r="B25" s="63" t="s">
        <v>55</v>
      </c>
      <c r="C25" s="64" t="s">
        <v>6</v>
      </c>
      <c r="D25" s="64" t="s">
        <v>8</v>
      </c>
      <c r="E25" s="64" t="s">
        <v>7</v>
      </c>
      <c r="F25" s="64" t="s">
        <v>116</v>
      </c>
      <c r="G25" s="64" t="str">
        <f t="shared" si="13"/>
        <v>Sekibor6M</v>
      </c>
      <c r="H25" s="62" t="str">
        <f t="shared" si="14"/>
        <v>SEKSB6S4Y_3S6S_Quote</v>
      </c>
      <c r="I25" s="132">
        <v>0</v>
      </c>
      <c r="J25" s="67" t="str">
        <f>_xll.qlSwapRateHelper2(,H25,2,B25,Calendar,D25,E25,F25,G25,I25,C25,Discounting,PillarDate,,Permanent,Trigger,ObjectOverwrite)</f>
        <v>obj_0013d#0000</v>
      </c>
      <c r="K25" s="51"/>
      <c r="L25" s="10" t="str">
        <f t="shared" si="11"/>
        <v>BasSw</v>
      </c>
      <c r="M25" s="98" t="str">
        <f t="shared" si="12"/>
        <v>obj_00141#0000</v>
      </c>
      <c r="N25" s="148" t="str">
        <f>IFERROR(_xll.qlRateHelperQuoteName(M25,Trigger),"--")</f>
        <v>SEKSB6S6Y_3S6S_Quote</v>
      </c>
      <c r="O25" s="102" t="str">
        <f>IFERROR(_xll.qlRateHelperQuoteValue($M25,Trigger),"--")</f>
        <v>--</v>
      </c>
      <c r="P25" s="143" t="b">
        <v>1</v>
      </c>
      <c r="Q25" s="98">
        <v>50</v>
      </c>
      <c r="R25" s="98">
        <v>1</v>
      </c>
      <c r="S25" s="103">
        <f>IFERROR(_xll.qlRateHelperEarliestDate(M25,Trigger),"--")</f>
        <v>42356</v>
      </c>
      <c r="T25" s="103">
        <f>IFERROR(_xll.qlRateHelperPillarDate(M25,Trigger),"--")</f>
        <v>44550</v>
      </c>
      <c r="V25" s="4" t="str">
        <f t="shared" si="1"/>
        <v/>
      </c>
      <c r="W25" s="4" t="e">
        <v>#N/A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#NUM!</v>
      </c>
      <c r="AD25" s="190"/>
    </row>
    <row r="26" spans="1:38" ht="11.25" customHeight="1" x14ac:dyDescent="0.2">
      <c r="A26" s="62" t="s">
        <v>146</v>
      </c>
      <c r="B26" s="63" t="s">
        <v>56</v>
      </c>
      <c r="C26" s="64" t="s">
        <v>6</v>
      </c>
      <c r="D26" s="64" t="s">
        <v>8</v>
      </c>
      <c r="E26" s="64" t="s">
        <v>7</v>
      </c>
      <c r="F26" s="64" t="s">
        <v>116</v>
      </c>
      <c r="G26" s="64" t="str">
        <f t="shared" si="13"/>
        <v>Sekibor6M</v>
      </c>
      <c r="H26" s="62" t="str">
        <f t="shared" si="14"/>
        <v>SEKSB6S5Y_3S6S_Quote</v>
      </c>
      <c r="I26" s="132">
        <v>0</v>
      </c>
      <c r="J26" s="67" t="str">
        <f>_xll.qlSwapRateHelper2(,H26,2,B26,Calendar,D26,E26,F26,G26,I26,C26,Discounting,PillarDate,,Permanent,Trigger,ObjectOverwrite)</f>
        <v>obj_0014a#0000</v>
      </c>
      <c r="K26" s="51"/>
      <c r="L26" s="10" t="str">
        <f t="shared" si="11"/>
        <v>BasSw</v>
      </c>
      <c r="M26" s="98" t="str">
        <f t="shared" si="12"/>
        <v>obj_0013f#0000</v>
      </c>
      <c r="N26" s="148" t="str">
        <f>IFERROR(_xll.qlRateHelperQuoteName(M26,Trigger),"--")</f>
        <v>SEKSB6S7Y_3S6S_Quote</v>
      </c>
      <c r="O26" s="102" t="str">
        <f>IFERROR(_xll.qlRateHelperQuoteValue($M26,Trigger),"--")</f>
        <v>--</v>
      </c>
      <c r="P26" s="143" t="b">
        <v>1</v>
      </c>
      <c r="Q26" s="98">
        <v>50</v>
      </c>
      <c r="R26" s="98">
        <v>1</v>
      </c>
      <c r="S26" s="103">
        <f>IFERROR(_xll.qlRateHelperEarliestDate(M26,Trigger),"--")</f>
        <v>42356</v>
      </c>
      <c r="T26" s="103">
        <f>IFERROR(_xll.qlRateHelperPillarDate(M26,Trigger),"--")</f>
        <v>44914</v>
      </c>
      <c r="V26" s="4" t="str">
        <f t="shared" si="1"/>
        <v/>
      </c>
      <c r="W26" s="4" t="e">
        <v>#N/A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#NUM!</v>
      </c>
      <c r="AD26" s="190"/>
    </row>
    <row r="27" spans="1:38" ht="11.25" customHeight="1" x14ac:dyDescent="0.2">
      <c r="A27" s="62" t="s">
        <v>146</v>
      </c>
      <c r="B27" s="63" t="s">
        <v>57</v>
      </c>
      <c r="C27" s="64" t="s">
        <v>6</v>
      </c>
      <c r="D27" s="64" t="s">
        <v>8</v>
      </c>
      <c r="E27" s="64" t="s">
        <v>7</v>
      </c>
      <c r="F27" s="64" t="s">
        <v>116</v>
      </c>
      <c r="G27" s="64" t="str">
        <f t="shared" si="13"/>
        <v>Sekibor6M</v>
      </c>
      <c r="H27" s="62" t="str">
        <f t="shared" si="14"/>
        <v>SEKSB6S6Y_3S6S_Quote</v>
      </c>
      <c r="I27" s="132">
        <v>0</v>
      </c>
      <c r="J27" s="67" t="str">
        <f>_xll.qlSwapRateHelper2(,H27,2,B27,Calendar,D27,E27,F27,G27,I27,C27,Discounting,PillarDate,,Permanent,Trigger,ObjectOverwrite)</f>
        <v>obj_00141#0000</v>
      </c>
      <c r="K27" s="51"/>
      <c r="L27" s="10" t="str">
        <f t="shared" si="11"/>
        <v>BasSw</v>
      </c>
      <c r="M27" s="98" t="str">
        <f t="shared" si="12"/>
        <v>obj_00147#0000</v>
      </c>
      <c r="N27" s="148" t="str">
        <f>IFERROR(_xll.qlRateHelperQuoteName(M27,Trigger),"--")</f>
        <v>SEKSB6S8Y_3S6S_Quote</v>
      </c>
      <c r="O27" s="102" t="str">
        <f>IFERROR(_xll.qlRateHelperQuoteValue($M27,Trigger),"--")</f>
        <v>--</v>
      </c>
      <c r="P27" s="143" t="b">
        <v>1</v>
      </c>
      <c r="Q27" s="98">
        <v>50</v>
      </c>
      <c r="R27" s="98">
        <v>1</v>
      </c>
      <c r="S27" s="103">
        <f>IFERROR(_xll.qlRateHelperEarliestDate(M27,Trigger),"--")</f>
        <v>42356</v>
      </c>
      <c r="T27" s="103">
        <f>IFERROR(_xll.qlRateHelperPillarDate(M27,Trigger),"--")</f>
        <v>45278</v>
      </c>
      <c r="V27" s="4" t="str">
        <f t="shared" si="1"/>
        <v/>
      </c>
      <c r="W27" s="4" t="e">
        <v>#N/A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#NUM!</v>
      </c>
      <c r="AD27" s="190"/>
    </row>
    <row r="28" spans="1:38" ht="11.25" customHeight="1" x14ac:dyDescent="0.2">
      <c r="A28" s="62" t="s">
        <v>146</v>
      </c>
      <c r="B28" s="63" t="s">
        <v>58</v>
      </c>
      <c r="C28" s="64" t="s">
        <v>6</v>
      </c>
      <c r="D28" s="64" t="s">
        <v>8</v>
      </c>
      <c r="E28" s="64" t="s">
        <v>7</v>
      </c>
      <c r="F28" s="64" t="s">
        <v>116</v>
      </c>
      <c r="G28" s="64" t="str">
        <f t="shared" si="13"/>
        <v>Sekibor6M</v>
      </c>
      <c r="H28" s="62" t="str">
        <f t="shared" si="14"/>
        <v>SEKSB6S7Y_3S6S_Quote</v>
      </c>
      <c r="I28" s="132">
        <v>0</v>
      </c>
      <c r="J28" s="67" t="str">
        <f>_xll.qlSwapRateHelper2(,H28,2,B28,Calendar,D28,E28,F28,G28,I28,C28,Discounting,PillarDate,,Permanent,Trigger,ObjectOverwrite)</f>
        <v>obj_0013f#0000</v>
      </c>
      <c r="K28" s="51"/>
      <c r="L28" s="10" t="str">
        <f t="shared" si="11"/>
        <v>BasSw</v>
      </c>
      <c r="M28" s="98" t="str">
        <f t="shared" si="12"/>
        <v>obj_00140#0000</v>
      </c>
      <c r="N28" s="148" t="str">
        <f>IFERROR(_xll.qlRateHelperQuoteName(M28,Trigger),"--")</f>
        <v>SEKSB6S9Y_3S6S_Quote</v>
      </c>
      <c r="O28" s="102" t="str">
        <f>IFERROR(_xll.qlRateHelperQuoteValue($M28,Trigger),"--")</f>
        <v>--</v>
      </c>
      <c r="P28" s="143" t="b">
        <v>1</v>
      </c>
      <c r="Q28" s="98">
        <v>50</v>
      </c>
      <c r="R28" s="98">
        <v>1</v>
      </c>
      <c r="S28" s="103">
        <f>IFERROR(_xll.qlRateHelperEarliestDate(M28,Trigger),"--")</f>
        <v>42356</v>
      </c>
      <c r="T28" s="103">
        <f>IFERROR(_xll.qlRateHelperPillarDate(M28,Trigger),"--")</f>
        <v>45644</v>
      </c>
      <c r="V28" s="4" t="str">
        <f t="shared" si="1"/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#NUM!</v>
      </c>
      <c r="AD28" s="190"/>
    </row>
    <row r="29" spans="1:38" ht="11.25" customHeight="1" x14ac:dyDescent="0.2">
      <c r="A29" s="62" t="s">
        <v>146</v>
      </c>
      <c r="B29" s="63" t="s">
        <v>59</v>
      </c>
      <c r="C29" s="64" t="s">
        <v>6</v>
      </c>
      <c r="D29" s="64" t="s">
        <v>8</v>
      </c>
      <c r="E29" s="64" t="s">
        <v>7</v>
      </c>
      <c r="F29" s="64" t="s">
        <v>116</v>
      </c>
      <c r="G29" s="64" t="str">
        <f t="shared" si="13"/>
        <v>Sekibor6M</v>
      </c>
      <c r="H29" s="62" t="str">
        <f t="shared" si="14"/>
        <v>SEKSB6S8Y_3S6S_Quote</v>
      </c>
      <c r="I29" s="132">
        <v>0</v>
      </c>
      <c r="J29" s="67" t="str">
        <f>_xll.qlSwapRateHelper2(,H29,2,B29,Calendar,D29,E29,F29,G29,I29,C29,Discounting,PillarDate,,Permanent,Trigger,ObjectOverwrite)</f>
        <v>obj_00147#0000</v>
      </c>
      <c r="K29" s="51"/>
      <c r="L29" s="10" t="str">
        <f t="shared" si="11"/>
        <v>BasSw</v>
      </c>
      <c r="M29" s="98" t="str">
        <f t="shared" si="12"/>
        <v>obj_00149#0000</v>
      </c>
      <c r="N29" s="148" t="str">
        <f>IFERROR(_xll.qlRateHelperQuoteName(M29,Trigger),"--")</f>
        <v>SEKSB6S10Y_3S6S_Quote</v>
      </c>
      <c r="O29" s="102" t="str">
        <f>IFERROR(_xll.qlRateHelperQuoteValue($M29,Trigger),"--")</f>
        <v>--</v>
      </c>
      <c r="P29" s="143" t="b">
        <v>1</v>
      </c>
      <c r="Q29" s="98">
        <v>50</v>
      </c>
      <c r="R29" s="98">
        <v>1</v>
      </c>
      <c r="S29" s="103">
        <f>IFERROR(_xll.qlRateHelperEarliestDate(M29,Trigger),"--")</f>
        <v>42356</v>
      </c>
      <c r="T29" s="103">
        <f>IFERROR(_xll.qlRateHelperPillarDate(M29,Trigger),"--")</f>
        <v>46009</v>
      </c>
      <c r="V29" s="4" t="str">
        <f t="shared" si="1"/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#NUM!</v>
      </c>
      <c r="AD29" s="190"/>
    </row>
    <row r="30" spans="1:38" ht="11.25" customHeight="1" x14ac:dyDescent="0.2">
      <c r="A30" s="62" t="s">
        <v>146</v>
      </c>
      <c r="B30" s="63" t="s">
        <v>60</v>
      </c>
      <c r="C30" s="64" t="s">
        <v>6</v>
      </c>
      <c r="D30" s="64" t="s">
        <v>8</v>
      </c>
      <c r="E30" s="64" t="s">
        <v>7</v>
      </c>
      <c r="F30" s="64" t="s">
        <v>116</v>
      </c>
      <c r="G30" s="64" t="str">
        <f t="shared" si="13"/>
        <v>Sekibor6M</v>
      </c>
      <c r="H30" s="62" t="str">
        <f t="shared" si="14"/>
        <v>SEKSB6S9Y_3S6S_Quote</v>
      </c>
      <c r="I30" s="132">
        <v>0</v>
      </c>
      <c r="J30" s="67" t="str">
        <f>_xll.qlSwapRateHelper2(,H30,2,B30,Calendar,D30,E30,F30,G30,I30,C30,Discounting,PillarDate,,Permanent,Trigger,ObjectOverwrite)</f>
        <v>obj_00140#0000</v>
      </c>
      <c r="K30" s="51"/>
      <c r="L30" s="10" t="str">
        <f t="shared" si="11"/>
        <v>BasSw</v>
      </c>
      <c r="M30" s="98" t="str">
        <f t="shared" si="12"/>
        <v>obj_0014c#0000</v>
      </c>
      <c r="N30" s="148" t="str">
        <f>IFERROR(_xll.qlRateHelperQuoteName(M30,Trigger),"--")</f>
        <v>SEKSB6S12Y_3S6S_Quote</v>
      </c>
      <c r="O30" s="102" t="str">
        <f>IFERROR(_xll.qlRateHelperQuoteValue($M30,Trigger),"--")</f>
        <v>--</v>
      </c>
      <c r="P30" s="143" t="b">
        <v>1</v>
      </c>
      <c r="Q30" s="98">
        <v>50</v>
      </c>
      <c r="R30" s="98">
        <v>1</v>
      </c>
      <c r="S30" s="103">
        <f>IFERROR(_xll.qlRateHelperEarliestDate(M30,Trigger),"--")</f>
        <v>42356</v>
      </c>
      <c r="T30" s="103">
        <f>IFERROR(_xll.qlRateHelperPillarDate(M30,Trigger),"--")</f>
        <v>46741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#NUM!</v>
      </c>
      <c r="AD30" s="190"/>
    </row>
    <row r="31" spans="1:38" ht="11.25" customHeight="1" x14ac:dyDescent="0.2">
      <c r="A31" s="62" t="s">
        <v>146</v>
      </c>
      <c r="B31" s="63" t="s">
        <v>61</v>
      </c>
      <c r="C31" s="64" t="s">
        <v>6</v>
      </c>
      <c r="D31" s="64" t="s">
        <v>8</v>
      </c>
      <c r="E31" s="64" t="s">
        <v>7</v>
      </c>
      <c r="F31" s="64" t="s">
        <v>116</v>
      </c>
      <c r="G31" s="64" t="str">
        <f t="shared" si="13"/>
        <v>Sekibor6M</v>
      </c>
      <c r="H31" s="62" t="str">
        <f t="shared" si="14"/>
        <v>SEKSB6S10Y_3S6S_Quote</v>
      </c>
      <c r="I31" s="132">
        <v>0</v>
      </c>
      <c r="J31" s="67" t="str">
        <f>_xll.qlSwapRateHelper2(,H31,2,B31,Calendar,D31,E31,F31,G31,I31,C31,Discounting,PillarDate,,Permanent,Trigger,ObjectOverwrite)</f>
        <v>obj_00149#0000</v>
      </c>
      <c r="K31" s="51"/>
      <c r="L31" s="10" t="str">
        <f t="shared" si="11"/>
        <v>BasSw</v>
      </c>
      <c r="M31" s="98" t="str">
        <f t="shared" si="12"/>
        <v>obj_0013b#0000</v>
      </c>
      <c r="N31" s="148" t="str">
        <f>IFERROR(_xll.qlRateHelperQuoteName(M31,Trigger),"--")</f>
        <v>SEKSB6S15Y_3S6S_Quote</v>
      </c>
      <c r="O31" s="102" t="str">
        <f>IFERROR(_xll.qlRateHelperQuoteValue($M31,Trigger),"--")</f>
        <v>--</v>
      </c>
      <c r="P31" s="143" t="b">
        <v>1</v>
      </c>
      <c r="Q31" s="98">
        <v>50</v>
      </c>
      <c r="R31" s="98">
        <v>1</v>
      </c>
      <c r="S31" s="103">
        <f>IFERROR(_xll.qlRateHelperEarliestDate(M31,Trigger),"--")</f>
        <v>42356</v>
      </c>
      <c r="T31" s="103">
        <f>IFERROR(_xll.qlRateHelperPillarDate(M31,Trigger),"--")</f>
        <v>47835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#NUM!</v>
      </c>
      <c r="AD31" s="190"/>
    </row>
    <row r="32" spans="1:38" ht="11.25" customHeight="1" x14ac:dyDescent="0.2">
      <c r="A32" s="62" t="s">
        <v>146</v>
      </c>
      <c r="B32" s="63" t="s">
        <v>62</v>
      </c>
      <c r="C32" s="64" t="s">
        <v>6</v>
      </c>
      <c r="D32" s="64" t="s">
        <v>8</v>
      </c>
      <c r="E32" s="64" t="s">
        <v>7</v>
      </c>
      <c r="F32" s="64" t="s">
        <v>116</v>
      </c>
      <c r="G32" s="64" t="str">
        <f t="shared" si="13"/>
        <v>Sekibor6M</v>
      </c>
      <c r="H32" s="62" t="str">
        <f t="shared" si="14"/>
        <v>SEKSB6S12Y_3S6S_Quote</v>
      </c>
      <c r="I32" s="132">
        <v>0</v>
      </c>
      <c r="J32" s="67" t="str">
        <f>_xll.qlSwapRateHelper2(,H32,2,B32,Calendar,D32,E32,F32,G32,I32,C32,Discounting,PillarDate,,Permanent,Trigger,ObjectOverwrite)</f>
        <v>obj_0014c#0000</v>
      </c>
      <c r="K32" s="51"/>
      <c r="L32" s="10" t="str">
        <f t="shared" si="11"/>
        <v>BasSw</v>
      </c>
      <c r="M32" s="98" t="str">
        <f t="shared" si="12"/>
        <v>obj_00144#0000</v>
      </c>
      <c r="N32" s="148" t="str">
        <f>IFERROR(_xll.qlRateHelperQuoteName(M32,Trigger),"--")</f>
        <v>SEKSB6S20Y_3S6S_Quote</v>
      </c>
      <c r="O32" s="102" t="str">
        <f>IFERROR(_xll.qlRateHelperQuoteValue($M32,Trigger),"--")</f>
        <v>--</v>
      </c>
      <c r="P32" s="143" t="b">
        <v>1</v>
      </c>
      <c r="Q32" s="98">
        <v>50</v>
      </c>
      <c r="R32" s="98">
        <v>1</v>
      </c>
      <c r="S32" s="103">
        <f>IFERROR(_xll.qlRateHelperEarliestDate(M32,Trigger),"--")</f>
        <v>42356</v>
      </c>
      <c r="T32" s="103">
        <f>IFERROR(_xll.qlRateHelperPillarDate(M32,Trigger),"--")</f>
        <v>49661</v>
      </c>
      <c r="V32" s="4" t="str">
        <f t="shared" si="1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#NUM!</v>
      </c>
      <c r="AD32" s="190"/>
    </row>
    <row r="33" spans="1:30" ht="11.25" customHeight="1" x14ac:dyDescent="0.2">
      <c r="A33" s="62" t="s">
        <v>146</v>
      </c>
      <c r="B33" s="63" t="s">
        <v>63</v>
      </c>
      <c r="C33" s="64" t="s">
        <v>6</v>
      </c>
      <c r="D33" s="64" t="s">
        <v>8</v>
      </c>
      <c r="E33" s="64" t="s">
        <v>7</v>
      </c>
      <c r="F33" s="64" t="s">
        <v>116</v>
      </c>
      <c r="G33" s="64" t="str">
        <f t="shared" si="13"/>
        <v>Sekibor6M</v>
      </c>
      <c r="H33" s="62" t="str">
        <f t="shared" si="14"/>
        <v>SEKSB6S15Y_3S6S_Quote</v>
      </c>
      <c r="I33" s="132">
        <v>0</v>
      </c>
      <c r="J33" s="67" t="str">
        <f>_xll.qlSwapRateHelper2(,H33,2,B33,Calendar,D33,E33,F33,G33,I33,C33,Discounting,PillarDate,,Permanent,Trigger,ObjectOverwrite)</f>
        <v>obj_0013b#0000</v>
      </c>
      <c r="K33" s="51"/>
      <c r="L33" s="10" t="str">
        <f t="shared" si="11"/>
        <v>BasSw</v>
      </c>
      <c r="M33" s="98" t="str">
        <f t="shared" si="12"/>
        <v>obj_00142#0000</v>
      </c>
      <c r="N33" s="148" t="str">
        <f>IFERROR(_xll.qlRateHelperQuoteName(M33,Trigger),"--")</f>
        <v>SEKSB6S25Y_3S6S_Quote</v>
      </c>
      <c r="O33" s="102" t="str">
        <f>IFERROR(_xll.qlRateHelperQuoteValue($M33,Trigger),"--")</f>
        <v>--</v>
      </c>
      <c r="P33" s="143" t="b">
        <v>1</v>
      </c>
      <c r="Q33" s="98">
        <v>50</v>
      </c>
      <c r="R33" s="98">
        <v>1</v>
      </c>
      <c r="S33" s="103">
        <f>IFERROR(_xll.qlRateHelperEarliestDate(M33,Trigger),"--")</f>
        <v>42356</v>
      </c>
      <c r="T33" s="103">
        <f>IFERROR(_xll.qlRateHelperPillarDate(M33,Trigger),"--")</f>
        <v>51488</v>
      </c>
      <c r="V33" s="4" t="str">
        <f t="shared" si="1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#NUM!</v>
      </c>
      <c r="AD33" s="190"/>
    </row>
    <row r="34" spans="1:30" ht="11.25" customHeight="1" x14ac:dyDescent="0.2">
      <c r="A34" s="62" t="s">
        <v>146</v>
      </c>
      <c r="B34" s="63" t="s">
        <v>64</v>
      </c>
      <c r="C34" s="64" t="s">
        <v>6</v>
      </c>
      <c r="D34" s="64" t="s">
        <v>8</v>
      </c>
      <c r="E34" s="64" t="s">
        <v>7</v>
      </c>
      <c r="F34" s="64" t="s">
        <v>116</v>
      </c>
      <c r="G34" s="64" t="str">
        <f t="shared" si="13"/>
        <v>Sekibor6M</v>
      </c>
      <c r="H34" s="62" t="str">
        <f t="shared" si="14"/>
        <v>SEKSB6S20Y_3S6S_Quote</v>
      </c>
      <c r="I34" s="132">
        <v>0</v>
      </c>
      <c r="J34" s="67" t="str">
        <f>_xll.qlSwapRateHelper2(,H34,2,B34,Calendar,D34,E34,F34,G34,I34,C34,Discounting,PillarDate,,Permanent,Trigger,ObjectOverwrite)</f>
        <v>obj_00144#0000</v>
      </c>
      <c r="K34" s="51"/>
      <c r="L34" s="10" t="str">
        <f t="shared" si="11"/>
        <v>BasSw</v>
      </c>
      <c r="M34" s="98" t="str">
        <f t="shared" si="12"/>
        <v>--</v>
      </c>
      <c r="N34" s="148" t="str">
        <f>IFERROR(_xll.qlRateHelperQuoteName(M34,Trigger),"--")</f>
        <v>--</v>
      </c>
      <c r="O34" s="102" t="str">
        <f>IFERROR(_xll.qlRateHelperQuoteValue($M34,Trigger),"--")</f>
        <v>--</v>
      </c>
      <c r="P34" s="143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1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#NUM!</v>
      </c>
      <c r="AD34" s="190"/>
    </row>
    <row r="35" spans="1:30" ht="11.25" customHeight="1" x14ac:dyDescent="0.2">
      <c r="A35" s="62" t="s">
        <v>146</v>
      </c>
      <c r="B35" s="63" t="s">
        <v>65</v>
      </c>
      <c r="C35" s="64" t="s">
        <v>6</v>
      </c>
      <c r="D35" s="64" t="s">
        <v>8</v>
      </c>
      <c r="E35" s="64" t="s">
        <v>7</v>
      </c>
      <c r="F35" s="64" t="s">
        <v>116</v>
      </c>
      <c r="G35" s="64" t="str">
        <f t="shared" si="13"/>
        <v>Sekibor6M</v>
      </c>
      <c r="H35" s="62" t="str">
        <f t="shared" si="14"/>
        <v>SEKSB6S25Y_3S6S_Quote</v>
      </c>
      <c r="I35" s="132">
        <v>0</v>
      </c>
      <c r="J35" s="67" t="str">
        <f>_xll.qlSwapRateHelper2(,H35,2,B35,Calendar,D35,E35,F35,G35,I35,C35,Discounting,PillarDate,,Permanent,Trigger,ObjectOverwrite)</f>
        <v>obj_00142#0000</v>
      </c>
      <c r="K35" s="51"/>
      <c r="L35" s="10" t="str">
        <f t="shared" si="11"/>
        <v>BasSw</v>
      </c>
      <c r="M35" s="98" t="str">
        <f t="shared" si="12"/>
        <v>obj_0013e#0000</v>
      </c>
      <c r="N35" s="148" t="str">
        <f>IFERROR(_xll.qlRateHelperQuoteName(M35,Trigger),"--")</f>
        <v>SEKSB6S30Y_3S6S_Quote</v>
      </c>
      <c r="O35" s="102" t="str">
        <f>IFERROR(_xll.qlRateHelperQuoteValue($M35,Trigger),"--")</f>
        <v>--</v>
      </c>
      <c r="P35" s="143" t="b">
        <v>1</v>
      </c>
      <c r="Q35" s="98">
        <v>50</v>
      </c>
      <c r="R35" s="98">
        <v>1</v>
      </c>
      <c r="S35" s="103">
        <f>IFERROR(_xll.qlRateHelperEarliestDate(M35,Trigger),"--")</f>
        <v>42356</v>
      </c>
      <c r="T35" s="103">
        <f>IFERROR(_xll.qlRateHelperPillarDate(M35,Trigger),"--")</f>
        <v>53314</v>
      </c>
      <c r="V35" s="4" t="str">
        <f t="shared" si="1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#NUM!</v>
      </c>
      <c r="AD35" s="190"/>
    </row>
    <row r="36" spans="1:30" ht="11.25" customHeight="1" x14ac:dyDescent="0.2">
      <c r="A36" s="62" t="s">
        <v>146</v>
      </c>
      <c r="B36" s="63" t="s">
        <v>66</v>
      </c>
      <c r="C36" s="64" t="s">
        <v>6</v>
      </c>
      <c r="D36" s="64" t="s">
        <v>8</v>
      </c>
      <c r="E36" s="64" t="s">
        <v>7</v>
      </c>
      <c r="F36" s="64" t="s">
        <v>116</v>
      </c>
      <c r="G36" s="64" t="str">
        <f t="shared" si="13"/>
        <v>Sekibor6M</v>
      </c>
      <c r="H36" s="62" t="str">
        <f t="shared" si="14"/>
        <v>SEKSB6S27Y_3S6S_Quote</v>
      </c>
      <c r="I36" s="132">
        <v>0</v>
      </c>
      <c r="J36" s="67"/>
      <c r="K36" s="51"/>
      <c r="L36" s="10" t="str">
        <f t="shared" si="11"/>
        <v>BasSw</v>
      </c>
      <c r="M36" s="98" t="str">
        <f t="shared" si="12"/>
        <v>--</v>
      </c>
      <c r="N36" s="148" t="str">
        <f>IFERROR(_xll.qlRateHelperQuoteName(M36,Trigger),"--")</f>
        <v>--</v>
      </c>
      <c r="O36" s="102" t="str">
        <f>IFERROR(_xll.qlRateHelperQuoteValue($M36,Trigger),"--")</f>
        <v>--</v>
      </c>
      <c r="P36" s="143" t="b">
        <v>0</v>
      </c>
      <c r="Q36" s="98">
        <v>50</v>
      </c>
      <c r="R36" s="98">
        <v>1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 t="shared" si="1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#NUM!</v>
      </c>
      <c r="AD36" s="190"/>
    </row>
    <row r="37" spans="1:30" ht="11.25" customHeight="1" x14ac:dyDescent="0.2">
      <c r="A37" s="62" t="s">
        <v>146</v>
      </c>
      <c r="B37" s="63" t="s">
        <v>67</v>
      </c>
      <c r="C37" s="64" t="s">
        <v>6</v>
      </c>
      <c r="D37" s="64" t="s">
        <v>8</v>
      </c>
      <c r="E37" s="64" t="s">
        <v>7</v>
      </c>
      <c r="F37" s="64" t="s">
        <v>116</v>
      </c>
      <c r="G37" s="64" t="str">
        <f t="shared" si="13"/>
        <v>Sekibor6M</v>
      </c>
      <c r="H37" s="62" t="str">
        <f t="shared" si="14"/>
        <v>SEKSB6S30Y_3S6S_Quote</v>
      </c>
      <c r="I37" s="132">
        <v>0</v>
      </c>
      <c r="J37" s="67" t="str">
        <f>_xll.qlSwapRateHelper2(,H37,2,B37,Calendar,D37,E37,F37,G37,I37,C37,Discounting,PillarDate,,Permanent,Trigger,ObjectOverwrite)</f>
        <v>obj_0013e#0000</v>
      </c>
      <c r="K37" s="51"/>
      <c r="L37" s="10" t="str">
        <f t="shared" si="11"/>
        <v>BasSw</v>
      </c>
      <c r="M37" s="98" t="str">
        <f t="shared" si="12"/>
        <v>--</v>
      </c>
      <c r="N37" s="148" t="str">
        <f>IFERROR(_xll.qlRateHelperQuoteName(M37,Trigger),"--")</f>
        <v>--</v>
      </c>
      <c r="O37" s="102" t="str">
        <f>IFERROR(_xll.qlRateHelperQuoteValue($M37,Trigger),"--")</f>
        <v>--</v>
      </c>
      <c r="P37" s="143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1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#NUM!</v>
      </c>
      <c r="AD37" s="190"/>
    </row>
    <row r="38" spans="1:30" ht="11.25" customHeight="1" x14ac:dyDescent="0.2">
      <c r="A38" s="62" t="s">
        <v>146</v>
      </c>
      <c r="B38" s="63" t="s">
        <v>68</v>
      </c>
      <c r="C38" s="64" t="s">
        <v>6</v>
      </c>
      <c r="D38" s="64" t="s">
        <v>8</v>
      </c>
      <c r="E38" s="64" t="s">
        <v>7</v>
      </c>
      <c r="F38" s="64" t="s">
        <v>116</v>
      </c>
      <c r="G38" s="64" t="str">
        <f t="shared" si="13"/>
        <v>Sekibor6M</v>
      </c>
      <c r="H38" s="62" t="str">
        <f t="shared" si="14"/>
        <v>SEKSB6S35Y_3S6S_Quote</v>
      </c>
      <c r="I38" s="132">
        <v>0</v>
      </c>
      <c r="J38" s="67"/>
      <c r="K38" s="51"/>
      <c r="L38" s="10" t="str">
        <f t="shared" si="11"/>
        <v>BasSw</v>
      </c>
      <c r="M38" s="98" t="str">
        <f t="shared" si="12"/>
        <v>--</v>
      </c>
      <c r="N38" s="148" t="str">
        <f>IFERROR(_xll.qlRateHelperQuoteName(M38,Trigger),"--")</f>
        <v>--</v>
      </c>
      <c r="O38" s="102" t="str">
        <f>IFERROR(_xll.qlRateHelperQuoteValue($M38,Trigger),"--")</f>
        <v>--</v>
      </c>
      <c r="P38" s="143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1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#NUM!</v>
      </c>
      <c r="AD38" s="190"/>
    </row>
    <row r="39" spans="1:30" ht="11.25" customHeight="1" x14ac:dyDescent="0.2">
      <c r="A39" s="62" t="s">
        <v>146</v>
      </c>
      <c r="B39" s="63" t="s">
        <v>69</v>
      </c>
      <c r="C39" s="64" t="s">
        <v>6</v>
      </c>
      <c r="D39" s="64" t="s">
        <v>8</v>
      </c>
      <c r="E39" s="64" t="s">
        <v>7</v>
      </c>
      <c r="F39" s="64" t="s">
        <v>116</v>
      </c>
      <c r="G39" s="64" t="str">
        <f t="shared" si="13"/>
        <v>Sekibor6M</v>
      </c>
      <c r="H39" s="62" t="str">
        <f t="shared" si="14"/>
        <v>SEKSB6S40Y_3S6S_Quote</v>
      </c>
      <c r="I39" s="132">
        <v>0</v>
      </c>
      <c r="J39" s="67"/>
      <c r="K39" s="51"/>
      <c r="L39" s="11" t="str">
        <f t="shared" si="11"/>
        <v>BasSw</v>
      </c>
      <c r="M39" s="99" t="str">
        <f t="shared" si="12"/>
        <v>--</v>
      </c>
      <c r="N39" s="149" t="str">
        <f>IFERROR(_xll.qlRateHelperQuoteName(M39,Trigger),"--")</f>
        <v>--</v>
      </c>
      <c r="O39" s="105" t="str">
        <f>IFERROR(_xll.qlRateHelperQuoteValue($M39,Trigger),"--")</f>
        <v>--</v>
      </c>
      <c r="P39" s="146" t="b">
        <v>0</v>
      </c>
      <c r="Q39" s="99">
        <v>50</v>
      </c>
      <c r="R39" s="99">
        <v>1</v>
      </c>
      <c r="S39" s="106" t="str">
        <f>IFERROR(_xll.qlRateHelperEarliestDate(M39,Trigger),"--")</f>
        <v>--</v>
      </c>
      <c r="T39" s="106" t="str">
        <f>IFERROR(_xll.qlRateHelperPillarDate(M39,Trigger),"--")</f>
        <v>--</v>
      </c>
      <c r="V39" s="6" t="str">
        <f t="shared" si="1"/>
        <v/>
      </c>
      <c r="W39" s="6" t="e">
        <v>#N/A</v>
      </c>
      <c r="X39" s="6" t="str">
        <f>IFERROR(_xll.qlRateHelperQuoteName(W39,Trigger),"")</f>
        <v/>
      </c>
      <c r="Y39" s="83" t="str">
        <f>IFERROR(_xll.qlRateHelperRate(W39,Trigger),"")</f>
        <v/>
      </c>
      <c r="Z39" s="109" t="str">
        <f>IF(ISERROR(_xll.qlSwapRateHelperSpread($W39)),IF(ISERROR(_xll.qlFuturesRateHelperConvexityAdjustment($W39)),"",_xll.qlFuturesRateHelperConvexityAdjustment($W39)),_xll.qlSwapRateHelperSpread($W39))</f>
        <v/>
      </c>
      <c r="AA39" s="12" t="str">
        <f>IFERROR(_xll.qlRateHelperEarliestDate(W39,Trigger),"")</f>
        <v/>
      </c>
      <c r="AB39" s="12" t="str">
        <f>IFERROR(_xll.qlRateHelperPillarDate(W39,Trigger),"")</f>
        <v/>
      </c>
      <c r="AC39" s="82" t="e">
        <v>#NUM!</v>
      </c>
      <c r="AD39" s="190"/>
    </row>
    <row r="40" spans="1:30" ht="11.25" customHeight="1" x14ac:dyDescent="0.2">
      <c r="A40" s="62" t="s">
        <v>146</v>
      </c>
      <c r="B40" s="63" t="s">
        <v>139</v>
      </c>
      <c r="C40" s="64" t="s">
        <v>6</v>
      </c>
      <c r="D40" s="64" t="s">
        <v>8</v>
      </c>
      <c r="E40" s="64" t="s">
        <v>7</v>
      </c>
      <c r="F40" s="64" t="s">
        <v>116</v>
      </c>
      <c r="G40" s="64" t="str">
        <f t="shared" si="13"/>
        <v>Sekibor6M</v>
      </c>
      <c r="H40" s="62" t="str">
        <f t="shared" si="14"/>
        <v>SEKSB6S45Y_3S6S_Quote</v>
      </c>
      <c r="I40" s="132">
        <v>0</v>
      </c>
      <c r="J40" s="67"/>
      <c r="K40" s="51"/>
      <c r="AD40" s="190"/>
    </row>
    <row r="41" spans="1:30" ht="11.25" customHeight="1" x14ac:dyDescent="0.2">
      <c r="A41" s="1" t="s">
        <v>146</v>
      </c>
      <c r="B41" s="8" t="s">
        <v>70</v>
      </c>
      <c r="C41" s="7" t="s">
        <v>6</v>
      </c>
      <c r="D41" s="7" t="s">
        <v>8</v>
      </c>
      <c r="E41" s="7" t="s">
        <v>7</v>
      </c>
      <c r="F41" s="7" t="s">
        <v>116</v>
      </c>
      <c r="G41" s="7" t="str">
        <f t="shared" si="13"/>
        <v>Sekibor6M</v>
      </c>
      <c r="H41" s="1" t="str">
        <f t="shared" si="14"/>
        <v>SEKSB6S50Y_3S6S_Quote</v>
      </c>
      <c r="I41" s="134">
        <v>0</v>
      </c>
      <c r="J41" s="3"/>
      <c r="AD41" s="190"/>
    </row>
    <row r="42" spans="1:30" ht="11.25" customHeight="1" x14ac:dyDescent="0.2">
      <c r="AD42" s="190"/>
    </row>
    <row r="43" spans="1:30" ht="11.25" customHeight="1" x14ac:dyDescent="0.2">
      <c r="AD43" s="190"/>
    </row>
    <row r="44" spans="1:30" ht="11.25" customHeight="1" x14ac:dyDescent="0.2">
      <c r="AD44" s="190"/>
    </row>
    <row r="45" spans="1:30" ht="11.25" customHeight="1" x14ac:dyDescent="0.2">
      <c r="AD45" s="190"/>
    </row>
    <row r="46" spans="1:30" ht="11.25" customHeight="1" x14ac:dyDescent="0.2"/>
    <row r="47" spans="1:30" ht="11.25" customHeight="1" x14ac:dyDescent="0.2"/>
    <row r="48" spans="1:30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49" t="s">
        <v>37</v>
      </c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F3:F6 F15:F41 F10:F1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:E6 E15:E41 E10:E11">
      <formula1>"Following,Modified Following,Preceding,Modified Preceding,Unadjusted,Half-Month Modified Following"</formula1>
    </dataValidation>
    <dataValidation type="list" allowBlank="1" showInputMessage="1" showErrorMessage="1" sqref="D15:D41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7109375" style="55" hidden="1" customWidth="1" outlineLevel="1"/>
    <col min="9" max="9" width="16.710937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710937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9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"_SYNTH"&amp;$G$1</f>
        <v>_SYNTH1M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SEK1M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95</v>
      </c>
      <c r="D2" s="68" t="s">
        <v>114</v>
      </c>
      <c r="E2" s="68" t="s">
        <v>35</v>
      </c>
      <c r="F2" s="68" t="s">
        <v>101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82</v>
      </c>
      <c r="O2" s="77" t="s">
        <v>85</v>
      </c>
      <c r="P2" s="77" t="s">
        <v>83</v>
      </c>
      <c r="Q2" s="77" t="s">
        <v>84</v>
      </c>
      <c r="R2" s="77" t="s">
        <v>86</v>
      </c>
      <c r="S2" s="77" t="s">
        <v>23</v>
      </c>
      <c r="T2" s="77" t="s">
        <v>79</v>
      </c>
      <c r="U2" s="97"/>
      <c r="V2" s="77" t="s">
        <v>9</v>
      </c>
      <c r="W2" s="77" t="s">
        <v>25</v>
      </c>
      <c r="X2" s="77" t="s">
        <v>82</v>
      </c>
      <c r="Y2" s="79" t="s">
        <v>24</v>
      </c>
      <c r="Z2" s="79" t="s">
        <v>87</v>
      </c>
      <c r="AA2" s="77" t="s">
        <v>23</v>
      </c>
      <c r="AB2" s="77" t="s">
        <v>79</v>
      </c>
      <c r="AC2" s="80" t="e">
        <f t="array" ref="AC2:AC32">_xll.qlPiecewiseYieldCurveData(YieldCurve_1M,Trigger)</f>
        <v>#NUM!</v>
      </c>
      <c r="AF2" s="191" t="s">
        <v>88</v>
      </c>
      <c r="AG2" s="192"/>
      <c r="AH2" s="192"/>
      <c r="AI2" s="192"/>
      <c r="AJ2" s="193"/>
    </row>
    <row r="3" spans="1:38" ht="11.25" customHeight="1" x14ac:dyDescent="0.2">
      <c r="A3" s="114" t="s">
        <v>27</v>
      </c>
      <c r="B3" s="115" t="s">
        <v>75</v>
      </c>
      <c r="C3" s="116" t="s">
        <v>76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obj_0012e#0000</v>
      </c>
      <c r="H3" s="125" t="str">
        <f t="shared" ref="H3:H7" si="0">Currency&amp;$B3&amp;"D"&amp;$H$1&amp;QuoteSuffix</f>
        <v>SEKSND_SYNTH1M_Quote</v>
      </c>
      <c r="I3" s="128"/>
      <c r="J3" s="118"/>
      <c r="K3" s="52"/>
      <c r="L3" s="71" t="str">
        <f>A3</f>
        <v>Dp</v>
      </c>
      <c r="M3" s="135" t="str">
        <f>IF(ISBLANK(J3),"--",J3)</f>
        <v>--</v>
      </c>
      <c r="N3" s="147" t="str">
        <f>IFERROR(_xll.qlRateHelperQuoteName(M3,Trigger),"--")</f>
        <v>--</v>
      </c>
      <c r="O3" s="137" t="str">
        <f>IFERROR(_xll.qlRateHelperQuoteValue($M3,Trigger),"--")</f>
        <v>--</v>
      </c>
      <c r="P3" s="140" t="b">
        <v>0</v>
      </c>
      <c r="Q3" s="135">
        <v>10</v>
      </c>
      <c r="R3" s="135">
        <v>1</v>
      </c>
      <c r="S3" s="138" t="str">
        <f>IFERROR(_xll.qlRateHelperEarliestDate(M3,Trigger),"--")</f>
        <v>--</v>
      </c>
      <c r="T3" s="138" t="str">
        <f>IFERROR(_xll.qlRateHelperPillarDate(M3,Trigger),"--")</f>
        <v>--</v>
      </c>
      <c r="V3" s="4" t="str">
        <f t="shared" ref="V3:V32" si="1">IFERROR(INDEX($L$3:$L$32,MATCH(X3,$N$3:$N$32,0),1),"")</f>
        <v>Dp</v>
      </c>
      <c r="W3" s="4" t="str">
        <f t="array" ref="W3:W32">_xll.qlRateHelperSelection(_xll.ohFilter(RateHelpers,IncludeFlag),_xll.ohFilter(Priority,IncludeFlag),$AJ$3,$AJ$4,$AJ$5,$AJ$6,_xll.ohFilter(MinDistance,IncludeFlag),Trigger)</f>
        <v>obj_0014f</v>
      </c>
      <c r="X3" s="4" t="str">
        <f>IFERROR(_xll.qlRateHelperQuoteName(W3,Trigger),"")</f>
        <v>SEKSWD_SYNTH1M_Quote</v>
      </c>
      <c r="Y3" s="73" t="str">
        <f>IFERROR(_xll.qlRateHelperRate(W3,Trigger),"")</f>
        <v/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42356</v>
      </c>
      <c r="AB3" s="5">
        <f>IFERROR(_xll.qlRateHelperPillarDate(W3,Trigger),"")</f>
        <v>42366</v>
      </c>
      <c r="AC3" s="81" t="e">
        <v>#NUM!</v>
      </c>
      <c r="AD3" s="84"/>
      <c r="AF3" s="200" t="s">
        <v>89</v>
      </c>
      <c r="AJ3" s="201">
        <v>0</v>
      </c>
    </row>
    <row r="4" spans="1:38" ht="11.25" customHeight="1" x14ac:dyDescent="0.2">
      <c r="A4" s="56" t="s">
        <v>27</v>
      </c>
      <c r="B4" s="57" t="s">
        <v>94</v>
      </c>
      <c r="C4" s="59" t="s">
        <v>39</v>
      </c>
      <c r="D4" s="59" t="b">
        <v>0</v>
      </c>
      <c r="E4" s="59" t="s">
        <v>7</v>
      </c>
      <c r="F4" s="59" t="s">
        <v>28</v>
      </c>
      <c r="G4" s="58" t="str">
        <f>_xll.qlIborIndex(,FamilyName,C4,2,Currency,Calendar,E4,D4,F4,,Permanent,Trigger,ObjectOverwrite)</f>
        <v>obj_0010c#0000</v>
      </c>
      <c r="H4" s="158" t="str">
        <f t="shared" si="0"/>
        <v>SEKSWD_SYNTH1M_Quote</v>
      </c>
      <c r="I4" s="133"/>
      <c r="J4" s="61" t="str">
        <f>_xll.qlDepositRateHelper(,H4,G4,Permanent,Trigger,ObjectOverwrite)</f>
        <v>obj_0014f#0000</v>
      </c>
      <c r="K4" s="51"/>
      <c r="L4" s="10" t="str">
        <f t="shared" ref="L4:L7" si="2">A4</f>
        <v>Dp</v>
      </c>
      <c r="M4" s="98" t="str">
        <f t="shared" ref="M4:M7" si="3">IF(ISBLANK(J4),"--",J4)</f>
        <v>obj_0014f#0000</v>
      </c>
      <c r="N4" s="148" t="str">
        <f>IFERROR(_xll.qlRateHelperQuoteName(M4,Trigger),"--")</f>
        <v>SEKSWD_SYNTH1M_Quote</v>
      </c>
      <c r="O4" s="102" t="str">
        <f>IFERROR(_xll.qlRateHelperQuoteValue($M4,Trigger),"--")</f>
        <v>--</v>
      </c>
      <c r="P4" s="143" t="b">
        <v>1</v>
      </c>
      <c r="Q4" s="98">
        <v>10</v>
      </c>
      <c r="R4" s="98">
        <v>1</v>
      </c>
      <c r="S4" s="103">
        <f>IFERROR(_xll.qlRateHelperEarliestDate(M4,Trigger),"--")</f>
        <v>42356</v>
      </c>
      <c r="T4" s="103">
        <f>IFERROR(_xll.qlRateHelperPillarDate(M4,Trigger),"--")</f>
        <v>42366</v>
      </c>
      <c r="V4" s="4" t="str">
        <f t="shared" si="1"/>
        <v>Dp</v>
      </c>
      <c r="W4" s="4" t="str">
        <v>obj_00152</v>
      </c>
      <c r="X4" s="4" t="str">
        <f>IFERROR(_xll.qlRateHelperQuoteName(W4,Trigger),"")</f>
        <v>SEK2WD_SYNTH1M_Quote</v>
      </c>
      <c r="Y4" s="73" t="str">
        <f>IFERROR(_xll.qlRateHelperRate(W4,Trigger),"")</f>
        <v/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42356</v>
      </c>
      <c r="AB4" s="5">
        <f>IFERROR(_xll.qlRateHelperPillarDate(W4,Trigger),"")</f>
        <v>42373</v>
      </c>
      <c r="AC4" s="81" t="e">
        <v>#NUM!</v>
      </c>
      <c r="AD4" s="84"/>
      <c r="AF4" s="111" t="s">
        <v>90</v>
      </c>
      <c r="AJ4" s="112">
        <v>0</v>
      </c>
    </row>
    <row r="5" spans="1:38" ht="11.25" customHeight="1" x14ac:dyDescent="0.2">
      <c r="A5" s="62" t="s">
        <v>27</v>
      </c>
      <c r="B5" s="63" t="s">
        <v>40</v>
      </c>
      <c r="C5" s="65" t="str">
        <f>B5</f>
        <v>2W</v>
      </c>
      <c r="D5" s="65" t="b">
        <v>0</v>
      </c>
      <c r="E5" s="65" t="s">
        <v>7</v>
      </c>
      <c r="F5" s="65" t="s">
        <v>28</v>
      </c>
      <c r="G5" s="64" t="str">
        <f>_xll.qlIborIndex(,FamilyName,C5,2,Currency,Calendar,E5,D5,F5,,Permanent,Trigger,ObjectOverwrite)</f>
        <v>obj_00148#0000</v>
      </c>
      <c r="H5" s="126" t="str">
        <f t="shared" si="0"/>
        <v>SEK2WD_SYNTH1M_Quote</v>
      </c>
      <c r="I5" s="129"/>
      <c r="J5" s="67" t="str">
        <f>_xll.qlDepositRateHelper(,H5,G5,Permanent,Trigger,ObjectOverwrite)</f>
        <v>obj_00152#0000</v>
      </c>
      <c r="K5" s="51"/>
      <c r="L5" s="10" t="str">
        <f t="shared" si="2"/>
        <v>Dp</v>
      </c>
      <c r="M5" s="98" t="str">
        <f t="shared" si="3"/>
        <v>obj_00152#0000</v>
      </c>
      <c r="N5" s="148" t="str">
        <f>IFERROR(_xll.qlRateHelperQuoteName(M5,Trigger),"--")</f>
        <v>SEK2WD_SYNTH1M_Quote</v>
      </c>
      <c r="O5" s="102" t="str">
        <f>IFERROR(_xll.qlRateHelperQuoteValue($M5,Trigger),"--")</f>
        <v>--</v>
      </c>
      <c r="P5" s="143" t="b">
        <v>1</v>
      </c>
      <c r="Q5" s="98">
        <v>10</v>
      </c>
      <c r="R5" s="98">
        <v>1</v>
      </c>
      <c r="S5" s="103">
        <f>IFERROR(_xll.qlRateHelperEarliestDate(M5,Trigger),"--")</f>
        <v>42356</v>
      </c>
      <c r="T5" s="103">
        <f>IFERROR(_xll.qlRateHelperPillarDate(M5,Trigger),"--")</f>
        <v>42373</v>
      </c>
      <c r="V5" s="4" t="str">
        <f t="shared" si="1"/>
        <v>Dp</v>
      </c>
      <c r="W5" s="4" t="str">
        <v>obj_0014e</v>
      </c>
      <c r="X5" s="4" t="str">
        <f>IFERROR(_xll.qlRateHelperQuoteName(W5,Trigger),"")</f>
        <v>SEK3WD_SYNTH1M_Quote</v>
      </c>
      <c r="Y5" s="73" t="str">
        <f>IFERROR(_xll.qlRateHelperRate(W5,Trigger),"")</f>
        <v/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42356</v>
      </c>
      <c r="AB5" s="5">
        <f>IFERROR(_xll.qlRateHelperPillarDate(W5,Trigger),"")</f>
        <v>42377</v>
      </c>
      <c r="AC5" s="81" t="e">
        <v>#NUM!</v>
      </c>
      <c r="AD5" s="84"/>
      <c r="AE5" s="84"/>
      <c r="AF5" s="111" t="s">
        <v>91</v>
      </c>
      <c r="AJ5" s="112">
        <v>0</v>
      </c>
    </row>
    <row r="6" spans="1:38" ht="11.25" customHeight="1" x14ac:dyDescent="0.2">
      <c r="A6" s="183" t="s">
        <v>27</v>
      </c>
      <c r="B6" s="184" t="s">
        <v>41</v>
      </c>
      <c r="C6" s="185" t="str">
        <f t="shared" ref="C6:C7" si="4">B6</f>
        <v>3W</v>
      </c>
      <c r="D6" s="9" t="b">
        <v>0</v>
      </c>
      <c r="E6" s="9" t="s">
        <v>7</v>
      </c>
      <c r="F6" s="9" t="s">
        <v>28</v>
      </c>
      <c r="G6" s="187" t="str">
        <f>_xll.qlIborIndex(,FamilyName,C6,2,Currency,Calendar,E6,D6,F6,,Permanent,Trigger,ObjectOverwrite)</f>
        <v>obj_00145#0000</v>
      </c>
      <c r="H6" s="188" t="str">
        <f t="shared" si="0"/>
        <v>SEK3WD_SYNTH1M_Quote</v>
      </c>
      <c r="I6" s="186"/>
      <c r="J6" s="189" t="str">
        <f>_xll.qlDepositRateHelper(,H6,G6,Permanent,Trigger,ObjectOverwrite)</f>
        <v>obj_0014e#0000</v>
      </c>
      <c r="K6" s="51"/>
      <c r="L6" s="10" t="str">
        <f t="shared" si="2"/>
        <v>Dp</v>
      </c>
      <c r="M6" s="98" t="str">
        <f t="shared" si="3"/>
        <v>obj_0014e#0000</v>
      </c>
      <c r="N6" s="148" t="str">
        <f>IFERROR(_xll.qlRateHelperQuoteName(M6,Trigger),"--")</f>
        <v>SEK3WD_SYNTH1M_Quote</v>
      </c>
      <c r="O6" s="102" t="str">
        <f>IFERROR(_xll.qlRateHelperQuoteValue($M6,Trigger),"--")</f>
        <v>--</v>
      </c>
      <c r="P6" s="143" t="b">
        <v>1</v>
      </c>
      <c r="Q6" s="98">
        <v>10</v>
      </c>
      <c r="R6" s="98">
        <v>1</v>
      </c>
      <c r="S6" s="103">
        <f>IFERROR(_xll.qlRateHelperEarliestDate(M6,Trigger),"--")</f>
        <v>42356</v>
      </c>
      <c r="T6" s="103">
        <f>IFERROR(_xll.qlRateHelperPillarDate(M6,Trigger),"--")</f>
        <v>42377</v>
      </c>
      <c r="V6" s="4" t="str">
        <f t="shared" si="1"/>
        <v>Dp</v>
      </c>
      <c r="W6" s="4" t="str">
        <v>obj_00156</v>
      </c>
      <c r="X6" s="4" t="str">
        <f>IFERROR(_xll.qlRateHelperQuoteName(W6,Trigger),"")</f>
        <v>SEK1MD_SYNTH1M_Quote</v>
      </c>
      <c r="Y6" s="73" t="str">
        <f>IFERROR(_xll.qlRateHelperRate(W6,Trigger),"")</f>
        <v/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42356</v>
      </c>
      <c r="AB6" s="5">
        <f>IFERROR(_xll.qlRateHelperPillarDate(W6,Trigger),"")</f>
        <v>42387</v>
      </c>
      <c r="AC6" s="81" t="e">
        <v>#NUM!</v>
      </c>
      <c r="AD6" s="84"/>
      <c r="AF6" s="111" t="s">
        <v>92</v>
      </c>
      <c r="AJ6" s="113" t="s">
        <v>93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30"/>
      <c r="E7" s="130"/>
      <c r="F7" s="130"/>
      <c r="G7" s="7" t="str">
        <f>PROPER(Currency)&amp;FamilyName&amp;B7</f>
        <v>Sekibor1M</v>
      </c>
      <c r="H7" s="127" t="str">
        <f t="shared" si="0"/>
        <v>SEK1MD_SYNTH1M_Quote</v>
      </c>
      <c r="I7" s="130"/>
      <c r="J7" s="3" t="str">
        <f>_xll.qlDepositRateHelper(,H7,G7,Permanent,Trigger,ObjectOverwrite)</f>
        <v>obj_00156#0000</v>
      </c>
      <c r="K7" s="51"/>
      <c r="L7" s="11" t="str">
        <f t="shared" si="2"/>
        <v>Dp</v>
      </c>
      <c r="M7" s="99" t="str">
        <f t="shared" si="3"/>
        <v>obj_00156#0000</v>
      </c>
      <c r="N7" s="149" t="str">
        <f>IFERROR(_xll.qlRateHelperQuoteName(M7,Trigger),"--")</f>
        <v>SEK1MD_SYNTH1M_Quote</v>
      </c>
      <c r="O7" s="105" t="str">
        <f>IFERROR(_xll.qlRateHelperQuoteValue($M7,Trigger),"--")</f>
        <v>--</v>
      </c>
      <c r="P7" s="146" t="b">
        <v>1</v>
      </c>
      <c r="Q7" s="99">
        <v>10</v>
      </c>
      <c r="R7" s="99">
        <v>1</v>
      </c>
      <c r="S7" s="106">
        <f>IFERROR(_xll.qlRateHelperEarliestDate(M7,Trigger),"--")</f>
        <v>42356</v>
      </c>
      <c r="T7" s="106">
        <f>IFERROR(_xll.qlRateHelperPillarDate(M7,Trigger),"--")</f>
        <v>42387</v>
      </c>
      <c r="V7" s="4" t="str">
        <f t="shared" si="1"/>
        <v>BasSw</v>
      </c>
      <c r="W7" s="4" t="str">
        <v>obj_00124</v>
      </c>
      <c r="X7" s="4" t="str">
        <f>IFERROR(_xll.qlRateHelperQuoteName(W7,Trigger),"")</f>
        <v>SEKAB3S1Y_Quote</v>
      </c>
      <c r="Y7" s="73">
        <f>IFERROR(_xll.qlRateHelperRate(W7,Trigger),"")</f>
        <v>-4.1749999999999999E-3</v>
      </c>
      <c r="Z7" s="108">
        <f>IF(ISERROR(_xll.qlSwapRateHelperSpread($W7)),IF(ISERROR(_xll.qlFuturesRateHelperConvexityAdjustment($W7)),"",_xll.qlFuturesRateHelperConvexityAdjustment($W7)),_xll.qlSwapRateHelperSpread($W7))</f>
        <v>7.9900000000000001E-4</v>
      </c>
      <c r="AA7" s="5">
        <f>IFERROR(_xll.qlRateHelperEarliestDate(W7,Trigger),"")</f>
        <v>42356</v>
      </c>
      <c r="AB7" s="5">
        <f>IFERROR(_xll.qlRateHelperPillarDate(W7,Trigger),"")</f>
        <v>42723</v>
      </c>
      <c r="AC7" s="81" t="e">
        <v>#NUM!</v>
      </c>
      <c r="AD7" s="84"/>
    </row>
    <row r="8" spans="1:38" ht="11.25" customHeight="1" x14ac:dyDescent="0.2">
      <c r="F8" s="53" t="s">
        <v>145</v>
      </c>
      <c r="G8" s="53" t="s">
        <v>117</v>
      </c>
      <c r="H8" s="53" t="s">
        <v>141</v>
      </c>
      <c r="K8" s="51"/>
      <c r="L8" s="71" t="str">
        <f t="shared" ref="L8:L32" si="5">A10</f>
        <v>BasSw</v>
      </c>
      <c r="M8" s="135" t="str">
        <f t="shared" ref="M8:M32" si="6">IF(ISBLANK(J10),"--",J10)</f>
        <v>--</v>
      </c>
      <c r="N8" s="147" t="str">
        <f>IFERROR(_xll.qlRateHelperQuoteName(M8,Trigger),"--")</f>
        <v>--</v>
      </c>
      <c r="O8" s="137" t="str">
        <f>IFERROR(_xll.qlRateHelperQuoteValue($M8,Trigger),"--")</f>
        <v>--</v>
      </c>
      <c r="P8" s="140" t="b">
        <v>0</v>
      </c>
      <c r="Q8" s="135">
        <v>50</v>
      </c>
      <c r="R8" s="135">
        <v>1</v>
      </c>
      <c r="S8" s="138" t="str">
        <f>IFERROR(_xll.qlRateHelperEarliestDate(M8,Trigger),"--")</f>
        <v>--</v>
      </c>
      <c r="T8" s="138" t="str">
        <f>IFERROR(_xll.qlRateHelperPillarDate(M8,Trigger),"--")</f>
        <v>--</v>
      </c>
      <c r="V8" s="4" t="str">
        <f t="shared" si="1"/>
        <v>BasSw</v>
      </c>
      <c r="W8" s="4" t="str">
        <v>obj_00126</v>
      </c>
      <c r="X8" s="4" t="str">
        <f>IFERROR(_xll.qlRateHelperQuoteName(W8,Trigger),"")</f>
        <v>SEKAB3S2Y_Quote</v>
      </c>
      <c r="Y8" s="73">
        <f>IFERROR(_xll.qlRateHelperRate(W8,Trigger),"")</f>
        <v>-3.1000000000000003E-3</v>
      </c>
      <c r="Z8" s="108">
        <f>IF(ISERROR(_xll.qlSwapRateHelperSpread($W8)),IF(ISERROR(_xll.qlFuturesRateHelperConvexityAdjustment($W8)),"",_xll.qlFuturesRateHelperConvexityAdjustment($W8)),_xll.qlSwapRateHelperSpread($W8))</f>
        <v>9.2400000000000002E-4</v>
      </c>
      <c r="AA8" s="5">
        <f>IFERROR(_xll.qlRateHelperEarliestDate(W8,Trigger),"")</f>
        <v>42356</v>
      </c>
      <c r="AB8" s="5">
        <f>IFERROR(_xll.qlRateHelperPillarDate(W8,Trigger),"")</f>
        <v>43087</v>
      </c>
      <c r="AC8" s="81" t="e">
        <v>#NUM!</v>
      </c>
      <c r="AD8" s="84"/>
    </row>
    <row r="9" spans="1:38" ht="11.25" customHeight="1" x14ac:dyDescent="0.2">
      <c r="A9" s="68" t="s">
        <v>9</v>
      </c>
      <c r="B9" s="68" t="s">
        <v>30</v>
      </c>
      <c r="C9" s="68" t="s">
        <v>100</v>
      </c>
      <c r="D9" s="68" t="s">
        <v>5</v>
      </c>
      <c r="E9" s="68" t="s">
        <v>35</v>
      </c>
      <c r="F9" s="68" t="s">
        <v>101</v>
      </c>
      <c r="G9" s="68" t="s">
        <v>4</v>
      </c>
      <c r="H9" s="68" t="s">
        <v>1</v>
      </c>
      <c r="I9" s="68" t="s">
        <v>99</v>
      </c>
      <c r="J9" s="68" t="s">
        <v>25</v>
      </c>
      <c r="K9" s="51"/>
      <c r="L9" s="10" t="str">
        <f t="shared" si="5"/>
        <v>BasSw</v>
      </c>
      <c r="M9" s="98" t="str">
        <f t="shared" si="6"/>
        <v>obj_00124#0000</v>
      </c>
      <c r="N9" s="148" t="str">
        <f>IFERROR(_xll.qlRateHelperQuoteName(M9,Trigger),"--")</f>
        <v>SEKAB3S1Y_Quote</v>
      </c>
      <c r="O9" s="102">
        <f>IFERROR(_xll.qlRateHelperQuoteValue($M9,Trigger),"--")</f>
        <v>-4.1749999999999999E-3</v>
      </c>
      <c r="P9" s="143" t="b">
        <v>1</v>
      </c>
      <c r="Q9" s="98">
        <v>50</v>
      </c>
      <c r="R9" s="98">
        <v>1</v>
      </c>
      <c r="S9" s="103">
        <f>IFERROR(_xll.qlRateHelperEarliestDate(M9,Trigger),"--")</f>
        <v>42356</v>
      </c>
      <c r="T9" s="103">
        <f>IFERROR(_xll.qlRateHelperPillarDate(M9,Trigger),"--")</f>
        <v>42723</v>
      </c>
      <c r="V9" s="4" t="str">
        <f t="shared" si="1"/>
        <v>BasSw</v>
      </c>
      <c r="W9" s="4" t="str">
        <v>obj_0011d</v>
      </c>
      <c r="X9" s="4" t="str">
        <f>IFERROR(_xll.qlRateHelperQuoteName(W9,Trigger),"")</f>
        <v>SEKAB3S3Y_Quote</v>
      </c>
      <c r="Y9" s="73">
        <f>IFERROR(_xll.qlRateHelperRate(W9,Trigger),"")</f>
        <v>-1.075E-3</v>
      </c>
      <c r="Z9" s="108">
        <f>IF(ISERROR(_xll.qlSwapRateHelperSpread($W9)),IF(ISERROR(_xll.qlFuturesRateHelperConvexityAdjustment($W9)),"",_xll.qlFuturesRateHelperConvexityAdjustment($W9)),_xll.qlSwapRateHelperSpread($W9))</f>
        <v>9.810000000000001E-4</v>
      </c>
      <c r="AA9" s="5">
        <f>IFERROR(_xll.qlRateHelperEarliestDate(W9,Trigger),"")</f>
        <v>42356</v>
      </c>
      <c r="AB9" s="5">
        <f>IFERROR(_xll.qlRateHelperPillarDate(W9,Trigger),"")</f>
        <v>43452</v>
      </c>
      <c r="AC9" s="81" t="e">
        <v>#NUM!</v>
      </c>
      <c r="AD9" s="84"/>
      <c r="AG9" s="49" t="s">
        <v>111</v>
      </c>
    </row>
    <row r="10" spans="1:38" ht="11.25" customHeight="1" x14ac:dyDescent="0.2">
      <c r="A10" s="56" t="s">
        <v>146</v>
      </c>
      <c r="B10" s="57" t="s">
        <v>3</v>
      </c>
      <c r="C10" s="58" t="s">
        <v>6</v>
      </c>
      <c r="D10" s="58" t="s">
        <v>8</v>
      </c>
      <c r="E10" s="58" t="s">
        <v>7</v>
      </c>
      <c r="F10" s="58" t="s">
        <v>116</v>
      </c>
      <c r="G10" s="58" t="str">
        <f t="shared" ref="G10:G34" si="7">PROPER(Currency)&amp;FamilyName&amp;Tenor</f>
        <v>Sekibor1M</v>
      </c>
      <c r="H10" s="56" t="str">
        <f t="shared" ref="H10:H34" si="8">Currency&amp;$G$8&amp;$H$8&amp;$B10&amp;QuoteSuffix</f>
        <v>SEKAB3S6M_Quote</v>
      </c>
      <c r="I10" s="206" t="str">
        <f t="shared" ref="I10:I34" si="9">Currency&amp;$F$8&amp;$H$8&amp;B10&amp;QuoteSuffix</f>
        <v>SEK1S3S6M_Quote</v>
      </c>
      <c r="J10" s="67"/>
      <c r="K10" s="51"/>
      <c r="L10" s="10" t="str">
        <f t="shared" si="5"/>
        <v>BasSw</v>
      </c>
      <c r="M10" s="98" t="str">
        <f t="shared" si="6"/>
        <v>--</v>
      </c>
      <c r="N10" s="148" t="str">
        <f>IFERROR(_xll.qlRateHelperQuoteName(M10,Trigger),"--")</f>
        <v>--</v>
      </c>
      <c r="O10" s="102" t="str">
        <f>IFERROR(_xll.qlRateHelperQuoteValue($M10,Trigger),"--")</f>
        <v>--</v>
      </c>
      <c r="P10" s="143" t="b">
        <v>0</v>
      </c>
      <c r="Q10" s="98">
        <v>50</v>
      </c>
      <c r="R10" s="98">
        <v>1</v>
      </c>
      <c r="S10" s="103" t="str">
        <f>IFERROR(_xll.qlRateHelperEarliestDate(M10,Trigger),"--")</f>
        <v>--</v>
      </c>
      <c r="T10" s="103" t="str">
        <f>IFERROR(_xll.qlRateHelperPillarDate(M10,Trigger),"--")</f>
        <v>--</v>
      </c>
      <c r="V10" s="4" t="str">
        <f t="shared" si="1"/>
        <v>BasSw</v>
      </c>
      <c r="W10" s="4" t="str">
        <v>obj_00120</v>
      </c>
      <c r="X10" s="4" t="str">
        <f>IFERROR(_xll.qlRateHelperQuoteName(W10,Trigger),"")</f>
        <v>SEKAB3S4Y_Quote</v>
      </c>
      <c r="Y10" s="73">
        <f>IFERROR(_xll.qlRateHelperRate(W10,Trigger),"")</f>
        <v>1.25E-3</v>
      </c>
      <c r="Z10" s="108">
        <f>IF(ISERROR(_xll.qlSwapRateHelperSpread($W10)),IF(ISERROR(_xll.qlFuturesRateHelperConvexityAdjustment($W10)),"",_xll.qlFuturesRateHelperConvexityAdjustment($W10)),_xll.qlSwapRateHelperSpread($W10))</f>
        <v>1.0070000000000001E-3</v>
      </c>
      <c r="AA10" s="5">
        <f>IFERROR(_xll.qlRateHelperEarliestDate(W10,Trigger),"")</f>
        <v>42356</v>
      </c>
      <c r="AB10" s="5">
        <f>IFERROR(_xll.qlRateHelperPillarDate(W10,Trigger),"")</f>
        <v>43817</v>
      </c>
      <c r="AC10" s="81" t="e">
        <v>#NUM!</v>
      </c>
      <c r="AD10" s="84"/>
      <c r="AE10" s="77" t="s">
        <v>105</v>
      </c>
      <c r="AF10" s="77" t="s">
        <v>106</v>
      </c>
      <c r="AG10" s="77" t="s">
        <v>107</v>
      </c>
      <c r="AH10" s="77" t="s">
        <v>118</v>
      </c>
      <c r="AI10" s="77" t="s">
        <v>108</v>
      </c>
      <c r="AJ10" s="77" t="s">
        <v>119</v>
      </c>
      <c r="AK10" s="77" t="s">
        <v>109</v>
      </c>
      <c r="AL10" s="77" t="s">
        <v>110</v>
      </c>
    </row>
    <row r="11" spans="1:38" ht="11.25" customHeight="1" x14ac:dyDescent="0.2">
      <c r="A11" s="62" t="s">
        <v>146</v>
      </c>
      <c r="B11" s="63" t="s">
        <v>29</v>
      </c>
      <c r="C11" s="64" t="s">
        <v>6</v>
      </c>
      <c r="D11" s="64" t="s">
        <v>8</v>
      </c>
      <c r="E11" s="64" t="s">
        <v>7</v>
      </c>
      <c r="F11" s="64" t="s">
        <v>116</v>
      </c>
      <c r="G11" s="64" t="str">
        <f t="shared" si="7"/>
        <v>Sekibor1M</v>
      </c>
      <c r="H11" s="62" t="str">
        <f t="shared" si="8"/>
        <v>SEKAB3S1Y_Quote</v>
      </c>
      <c r="I11" s="159" t="str">
        <f t="shared" si="9"/>
        <v>SEK1S3S1Y_Quote</v>
      </c>
      <c r="J11" s="67" t="str">
        <f>_xll.qlSwapRateHelper2(,H11,2,B11,Calendar,D11,E11,F11,G11,I11,C11,Discounting,PillarDate,,Permanent,Trigger,ObjectOverwrite)</f>
        <v>obj_00124#0000</v>
      </c>
      <c r="K11" s="51"/>
      <c r="L11" s="10" t="str">
        <f t="shared" si="5"/>
        <v>BasSw</v>
      </c>
      <c r="M11" s="98" t="str">
        <f t="shared" si="6"/>
        <v>obj_00126#0000</v>
      </c>
      <c r="N11" s="148" t="str">
        <f>IFERROR(_xll.qlRateHelperQuoteName(M11,Trigger),"--")</f>
        <v>SEKAB3S2Y_Quote</v>
      </c>
      <c r="O11" s="102">
        <f>IFERROR(_xll.qlRateHelperQuoteValue($M11,Trigger),"--")</f>
        <v>-3.1000000000000003E-3</v>
      </c>
      <c r="P11" s="143" t="b">
        <v>1</v>
      </c>
      <c r="Q11" s="98">
        <v>50</v>
      </c>
      <c r="R11" s="98">
        <v>1</v>
      </c>
      <c r="S11" s="103">
        <f>IFERROR(_xll.qlRateHelperEarliestDate(M11,Trigger),"--")</f>
        <v>42356</v>
      </c>
      <c r="T11" s="103">
        <f>IFERROR(_xll.qlRateHelperPillarDate(M11,Trigger),"--")</f>
        <v>43087</v>
      </c>
      <c r="V11" s="4" t="str">
        <f t="shared" si="1"/>
        <v>BasSw</v>
      </c>
      <c r="W11" s="4" t="str">
        <v>obj_0011f</v>
      </c>
      <c r="X11" s="4" t="str">
        <f>IFERROR(_xll.qlRateHelperQuoteName(W11,Trigger),"")</f>
        <v>SEKAB3S5Y_Quote</v>
      </c>
      <c r="Y11" s="73">
        <f>IFERROR(_xll.qlRateHelperRate(W11,Trigger),"")</f>
        <v>3.7750000000000001E-3</v>
      </c>
      <c r="Z11" s="108">
        <f>IF(ISERROR(_xll.qlSwapRateHelperSpread($W11)),IF(ISERROR(_xll.qlFuturesRateHelperConvexityAdjustment($W11)),"",_xll.qlFuturesRateHelperConvexityAdjustment($W11)),_xll.qlSwapRateHelperSpread($W11))</f>
        <v>1.01E-3</v>
      </c>
      <c r="AA11" s="5">
        <f>IFERROR(_xll.qlRateHelperEarliestDate(W11,Trigger),"")</f>
        <v>42356</v>
      </c>
      <c r="AB11" s="5">
        <f>IFERROR(_xll.qlRateHelperPillarDate(W11,Trigger),"")</f>
        <v>44183</v>
      </c>
      <c r="AC11" s="81" t="e">
        <v>#NUM!</v>
      </c>
      <c r="AD11" s="84"/>
      <c r="AE11" s="161">
        <v>1</v>
      </c>
      <c r="AF11" s="162">
        <f>_xll.qlCalendarEndOfMonth(Calendar,Settlementdate,Trigger)</f>
        <v>42368</v>
      </c>
      <c r="AG11" s="161" t="str">
        <f t="shared" ref="AG11:AG23" si="10">Currency&amp;$AG$9&amp;AE11&amp;JumpSuffix&amp;QuoteSuffix</f>
        <v>SEKJump1_SYNTHON_Quote</v>
      </c>
      <c r="AH11" s="194">
        <f>_xll.qlDayCounterYearFraction("actual/360",AF11,_xll.qlCalendarAdvance(Calendar,AF11,"1D",,,Trigger))</f>
        <v>1.3888888888888888E-2</v>
      </c>
      <c r="AI11" s="163" t="e">
        <f>IF(_xll.qlQuoteIsValid(AG11,Trigger),_xll.qlQuoteValue(AG11,Trigger),1)</f>
        <v>#NUM!</v>
      </c>
      <c r="AJ11" s="197" t="e">
        <f>-LN(AI11)/AH11</f>
        <v>#NUM!</v>
      </c>
      <c r="AK11" s="202">
        <v>0</v>
      </c>
      <c r="AL11" s="163">
        <f>IF(ISBLANK(AK11),AG11,EXP(-AK11*AH11))</f>
        <v>1</v>
      </c>
    </row>
    <row r="12" spans="1:38" ht="11.25" customHeight="1" x14ac:dyDescent="0.2">
      <c r="A12" s="62" t="s">
        <v>146</v>
      </c>
      <c r="B12" s="63" t="s">
        <v>51</v>
      </c>
      <c r="C12" s="64" t="s">
        <v>6</v>
      </c>
      <c r="D12" s="64" t="s">
        <v>8</v>
      </c>
      <c r="E12" s="64" t="s">
        <v>7</v>
      </c>
      <c r="F12" s="64" t="s">
        <v>116</v>
      </c>
      <c r="G12" s="64" t="str">
        <f t="shared" si="7"/>
        <v>Sekibor1M</v>
      </c>
      <c r="H12" s="62" t="str">
        <f t="shared" si="8"/>
        <v>SEKAB3S18M_Quote</v>
      </c>
      <c r="I12" s="159" t="str">
        <f t="shared" si="9"/>
        <v>SEK1S3S18M_Quote</v>
      </c>
      <c r="J12" s="67"/>
      <c r="K12" s="51" t="s">
        <v>37</v>
      </c>
      <c r="L12" s="10" t="str">
        <f t="shared" si="5"/>
        <v>BasSw</v>
      </c>
      <c r="M12" s="98" t="str">
        <f t="shared" si="6"/>
        <v>obj_00123#0000</v>
      </c>
      <c r="N12" s="148" t="str">
        <f>IFERROR(_xll.qlRateHelperQuoteName(M12,Trigger),"--")</f>
        <v>SEKAB3S30M_Quote</v>
      </c>
      <c r="O12" s="102" t="str">
        <f>IFERROR(_xll.qlRateHelperQuoteValue($M12,Trigger),"--")</f>
        <v>--</v>
      </c>
      <c r="P12" s="143" t="b">
        <v>0</v>
      </c>
      <c r="Q12" s="98">
        <v>50</v>
      </c>
      <c r="R12" s="98">
        <v>1</v>
      </c>
      <c r="S12" s="103">
        <f>IFERROR(_xll.qlRateHelperEarliestDate(M12,Trigger),"--")</f>
        <v>42356</v>
      </c>
      <c r="T12" s="103">
        <f>IFERROR(_xll.qlRateHelperPillarDate(M12,Trigger),"--")</f>
        <v>43269</v>
      </c>
      <c r="V12" s="4" t="str">
        <f t="shared" si="1"/>
        <v>BasSw</v>
      </c>
      <c r="W12" s="4" t="str">
        <v>obj_0012c</v>
      </c>
      <c r="X12" s="4" t="str">
        <f>IFERROR(_xll.qlRateHelperQuoteName(W12,Trigger),"")</f>
        <v>SEKAB3S6Y_Quote</v>
      </c>
      <c r="Y12" s="73">
        <f>IFERROR(_xll.qlRateHelperRate(W12,Trigger),"")</f>
        <v>6.1500000000000001E-3</v>
      </c>
      <c r="Z12" s="108">
        <f>IF(ISERROR(_xll.qlSwapRateHelperSpread($W12)),IF(ISERROR(_xll.qlFuturesRateHelperConvexityAdjustment($W12)),"",_xll.qlFuturesRateHelperConvexityAdjustment($W12)),_xll.qlSwapRateHelperSpread($W12))</f>
        <v>1.01E-3</v>
      </c>
      <c r="AA12" s="5">
        <f>IFERROR(_xll.qlRateHelperEarliestDate(W12,Trigger),"")</f>
        <v>42356</v>
      </c>
      <c r="AB12" s="5">
        <f>IFERROR(_xll.qlRateHelperPillarDate(W12,Trigger),"")</f>
        <v>44550</v>
      </c>
      <c r="AC12" s="81" t="e">
        <v>#NUM!</v>
      </c>
      <c r="AD12" s="84"/>
      <c r="AE12" s="164">
        <v>2</v>
      </c>
      <c r="AF12" s="165">
        <f>_xll.qlCalendarEndOfMonth(Calendar,_xll.qlCalendarAdvance(Calendar,AF11,"1m","mf",TRUE),Trigger)</f>
        <v>42398</v>
      </c>
      <c r="AG12" s="164" t="str">
        <f t="shared" si="10"/>
        <v>SEKJump2_SYNTHON_Quote</v>
      </c>
      <c r="AH12" s="195">
        <f>_xll.qlDayCounterYearFraction("actual/360",AF12,_xll.qlCalendarAdvance(Calendar,AF12,"1D",,,Trigger))</f>
        <v>8.3333333333333332E-3</v>
      </c>
      <c r="AI12" s="166" t="e">
        <f>IF(_xll.qlQuoteIsValid(AG12,Trigger),_xll.qlQuoteValue(AG12,Trigger),1)</f>
        <v>#NUM!</v>
      </c>
      <c r="AJ12" s="198" t="e">
        <f t="shared" ref="AJ12:AJ23" si="11">-LN(AI12)/AH12</f>
        <v>#NUM!</v>
      </c>
      <c r="AK12" s="203">
        <v>0</v>
      </c>
      <c r="AL12" s="166">
        <f t="shared" ref="AL12:AL23" si="12">IF(ISBLANK(AK12),AG12,EXP(-AK12*AH12))</f>
        <v>1</v>
      </c>
    </row>
    <row r="13" spans="1:38" ht="11.25" customHeight="1" x14ac:dyDescent="0.2">
      <c r="A13" s="62" t="s">
        <v>146</v>
      </c>
      <c r="B13" s="63" t="s">
        <v>53</v>
      </c>
      <c r="C13" s="64" t="s">
        <v>6</v>
      </c>
      <c r="D13" s="64" t="s">
        <v>8</v>
      </c>
      <c r="E13" s="64" t="s">
        <v>7</v>
      </c>
      <c r="F13" s="64" t="s">
        <v>116</v>
      </c>
      <c r="G13" s="64" t="str">
        <f t="shared" si="7"/>
        <v>Sekibor1M</v>
      </c>
      <c r="H13" s="62" t="str">
        <f t="shared" si="8"/>
        <v>SEKAB3S2Y_Quote</v>
      </c>
      <c r="I13" s="159" t="str">
        <f t="shared" si="9"/>
        <v>SEK1S3S2Y_Quote</v>
      </c>
      <c r="J13" s="67" t="str">
        <f>_xll.qlSwapRateHelper2(,H13,2,B13,Calendar,D13,E13,F13,G13,I13,C13,Discounting,PillarDate,,Permanent,Trigger,ObjectOverwrite)</f>
        <v>obj_00126#0000</v>
      </c>
      <c r="K13" s="51"/>
      <c r="L13" s="10" t="str">
        <f t="shared" si="5"/>
        <v>BasSw</v>
      </c>
      <c r="M13" s="98" t="str">
        <f t="shared" si="6"/>
        <v>obj_0011d#0000</v>
      </c>
      <c r="N13" s="148" t="str">
        <f>IFERROR(_xll.qlRateHelperQuoteName(M13,Trigger),"--")</f>
        <v>SEKAB3S3Y_Quote</v>
      </c>
      <c r="O13" s="102">
        <f>IFERROR(_xll.qlRateHelperQuoteValue($M13,Trigger),"--")</f>
        <v>-1.075E-3</v>
      </c>
      <c r="P13" s="143" t="b">
        <v>1</v>
      </c>
      <c r="Q13" s="98">
        <v>50</v>
      </c>
      <c r="R13" s="98">
        <v>1</v>
      </c>
      <c r="S13" s="103">
        <f>IFERROR(_xll.qlRateHelperEarliestDate(M13,Trigger),"--")</f>
        <v>42356</v>
      </c>
      <c r="T13" s="103">
        <f>IFERROR(_xll.qlRateHelperPillarDate(M13,Trigger),"--")</f>
        <v>43452</v>
      </c>
      <c r="V13" s="4" t="str">
        <f t="shared" si="1"/>
        <v>BasSw</v>
      </c>
      <c r="W13" s="4" t="str">
        <v>obj_0011e</v>
      </c>
      <c r="X13" s="4" t="str">
        <f>IFERROR(_xll.qlRateHelperQuoteName(W13,Trigger),"")</f>
        <v>SEKAB3S7Y_Quote</v>
      </c>
      <c r="Y13" s="73">
        <f>IFERROR(_xll.qlRateHelperRate(W13,Trigger),"")</f>
        <v>8.2500000000000004E-3</v>
      </c>
      <c r="Z13" s="108">
        <f>IF(ISERROR(_xll.qlSwapRateHelperSpread($W13)),IF(ISERROR(_xll.qlFuturesRateHelperConvexityAdjustment($W13)),"",_xll.qlFuturesRateHelperConvexityAdjustment($W13)),_xll.qlSwapRateHelperSpread($W13))</f>
        <v>1.0089999999999999E-3</v>
      </c>
      <c r="AA13" s="5">
        <f>IFERROR(_xll.qlRateHelperEarliestDate(W13,Trigger),"")</f>
        <v>42356</v>
      </c>
      <c r="AB13" s="5">
        <f>IFERROR(_xll.qlRateHelperPillarDate(W13,Trigger),"")</f>
        <v>44914</v>
      </c>
      <c r="AC13" s="81" t="e">
        <v>#NUM!</v>
      </c>
      <c r="AD13" s="84"/>
      <c r="AE13" s="164">
        <v>3</v>
      </c>
      <c r="AF13" s="165">
        <f>_xll.qlCalendarEndOfMonth(Calendar,_xll.qlCalendarAdvance(Calendar,AF12,"1m","mf",TRUE),Trigger)</f>
        <v>42429</v>
      </c>
      <c r="AG13" s="164" t="str">
        <f t="shared" si="10"/>
        <v>SEKJump3_SYNTHON_Quote</v>
      </c>
      <c r="AH13" s="195">
        <f>_xll.qlDayCounterYearFraction("actual/360",AF13,_xll.qlCalendarAdvance(Calendar,AF13,"1D",,,Trigger))</f>
        <v>2.7777777777777779E-3</v>
      </c>
      <c r="AI13" s="166" t="e">
        <f>IF(_xll.qlQuoteIsValid(AG13,Trigger),_xll.qlQuoteValue(AG13,Trigger),1)</f>
        <v>#NUM!</v>
      </c>
      <c r="AJ13" s="198" t="e">
        <f t="shared" si="11"/>
        <v>#NUM!</v>
      </c>
      <c r="AK13" s="203">
        <v>0</v>
      </c>
      <c r="AL13" s="166">
        <f t="shared" si="12"/>
        <v>1</v>
      </c>
    </row>
    <row r="14" spans="1:38" ht="11.25" customHeight="1" x14ac:dyDescent="0.2">
      <c r="A14" s="62" t="s">
        <v>146</v>
      </c>
      <c r="B14" s="63" t="s">
        <v>131</v>
      </c>
      <c r="C14" s="64" t="s">
        <v>6</v>
      </c>
      <c r="D14" s="64" t="s">
        <v>8</v>
      </c>
      <c r="E14" s="64" t="s">
        <v>7</v>
      </c>
      <c r="F14" s="64" t="s">
        <v>116</v>
      </c>
      <c r="G14" s="64" t="str">
        <f t="shared" si="7"/>
        <v>Sekibor1M</v>
      </c>
      <c r="H14" s="62" t="str">
        <f t="shared" si="8"/>
        <v>SEKAB3S30M_Quote</v>
      </c>
      <c r="I14" s="159" t="str">
        <f t="shared" si="9"/>
        <v>SEK1S3S30M_Quote</v>
      </c>
      <c r="J14" s="67" t="str">
        <f>_xll.qlSwapRateHelper2(,H14,2,B14,Calendar,D14,E14,F14,G14,I14,C14,Discounting,PillarDate,,Permanent,Trigger,ObjectOverwrite)</f>
        <v>obj_00123#0000</v>
      </c>
      <c r="K14" s="51"/>
      <c r="L14" s="10" t="str">
        <f t="shared" si="5"/>
        <v>BasSw</v>
      </c>
      <c r="M14" s="98" t="str">
        <f t="shared" si="6"/>
        <v>--</v>
      </c>
      <c r="N14" s="148" t="str">
        <f>IFERROR(_xll.qlRateHelperQuoteName(M14,Trigger),"--")</f>
        <v>--</v>
      </c>
      <c r="O14" s="102" t="str">
        <f>IFERROR(_xll.qlRateHelperQuoteValue($M14,Trigger),"--")</f>
        <v>--</v>
      </c>
      <c r="P14" s="143" t="b">
        <v>0</v>
      </c>
      <c r="Q14" s="98">
        <v>50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1"/>
        <v>BasSw</v>
      </c>
      <c r="W14" s="4" t="str">
        <v>obj_00122</v>
      </c>
      <c r="X14" s="4" t="str">
        <f>IFERROR(_xll.qlRateHelperQuoteName(W14,Trigger),"")</f>
        <v>SEKAB3S8Y_Quote</v>
      </c>
      <c r="Y14" s="73">
        <f>IFERROR(_xll.qlRateHelperRate(W14,Trigger),"")</f>
        <v>1.0050000000000002E-2</v>
      </c>
      <c r="Z14" s="108">
        <f>IF(ISERROR(_xll.qlSwapRateHelperSpread($W14)),IF(ISERROR(_xll.qlFuturesRateHelperConvexityAdjustment($W14)),"",_xll.qlFuturesRateHelperConvexityAdjustment($W14)),_xll.qlSwapRateHelperSpread($W14))</f>
        <v>1.0070000000000001E-3</v>
      </c>
      <c r="AA14" s="5">
        <f>IFERROR(_xll.qlRateHelperEarliestDate(W14,Trigger),"")</f>
        <v>42356</v>
      </c>
      <c r="AB14" s="5">
        <f>IFERROR(_xll.qlRateHelperPillarDate(W14,Trigger),"")</f>
        <v>45278</v>
      </c>
      <c r="AC14" s="81" t="e">
        <v>#NUM!</v>
      </c>
      <c r="AD14" s="84"/>
      <c r="AE14" s="164">
        <v>4</v>
      </c>
      <c r="AF14" s="165">
        <f>_xll.qlCalendarEndOfMonth(Calendar,_xll.qlCalendarAdvance(Calendar,AF13,"1m","mf",TRUE),Trigger)</f>
        <v>42460</v>
      </c>
      <c r="AG14" s="164" t="str">
        <f t="shared" si="10"/>
        <v>SEKJump4_SYNTHON_Quote</v>
      </c>
      <c r="AH14" s="195">
        <f>_xll.qlDayCounterYearFraction("actual/360",AF14,_xll.qlCalendarAdvance(Calendar,AF14,"1D",,,Trigger))</f>
        <v>2.7777777777777779E-3</v>
      </c>
      <c r="AI14" s="166" t="e">
        <f>IF(_xll.qlQuoteIsValid(AG14,Trigger),_xll.qlQuoteValue(AG14,Trigger),1)</f>
        <v>#NUM!</v>
      </c>
      <c r="AJ14" s="198" t="e">
        <f t="shared" si="11"/>
        <v>#NUM!</v>
      </c>
      <c r="AK14" s="203">
        <v>0</v>
      </c>
      <c r="AL14" s="166">
        <f t="shared" si="12"/>
        <v>1</v>
      </c>
    </row>
    <row r="15" spans="1:38" ht="11.25" customHeight="1" x14ac:dyDescent="0.2">
      <c r="A15" s="62" t="s">
        <v>146</v>
      </c>
      <c r="B15" s="63" t="s">
        <v>54</v>
      </c>
      <c r="C15" s="64" t="s">
        <v>6</v>
      </c>
      <c r="D15" s="64" t="s">
        <v>8</v>
      </c>
      <c r="E15" s="64" t="s">
        <v>7</v>
      </c>
      <c r="F15" s="64" t="s">
        <v>116</v>
      </c>
      <c r="G15" s="64" t="str">
        <f t="shared" si="7"/>
        <v>Sekibor1M</v>
      </c>
      <c r="H15" s="62" t="str">
        <f t="shared" si="8"/>
        <v>SEKAB3S3Y_Quote</v>
      </c>
      <c r="I15" s="159" t="str">
        <f t="shared" si="9"/>
        <v>SEK1S3S3Y_Quote</v>
      </c>
      <c r="J15" s="67" t="str">
        <f>_xll.qlSwapRateHelper2(,H15,2,B15,Calendar,D15,E15,F15,G15,I15,C15,Discounting,PillarDate,,Permanent,Trigger,ObjectOverwrite)</f>
        <v>obj_0011d#0000</v>
      </c>
      <c r="K15" s="51"/>
      <c r="L15" s="10" t="str">
        <f t="shared" si="5"/>
        <v>BasSw</v>
      </c>
      <c r="M15" s="98" t="str">
        <f t="shared" si="6"/>
        <v>obj_00120#0000</v>
      </c>
      <c r="N15" s="148" t="str">
        <f>IFERROR(_xll.qlRateHelperQuoteName(M15,Trigger),"--")</f>
        <v>SEKAB3S4Y_Quote</v>
      </c>
      <c r="O15" s="102">
        <f>IFERROR(_xll.qlRateHelperQuoteValue($M15,Trigger),"--")</f>
        <v>1.25E-3</v>
      </c>
      <c r="P15" s="143" t="b">
        <v>1</v>
      </c>
      <c r="Q15" s="98">
        <v>50</v>
      </c>
      <c r="R15" s="98">
        <v>1</v>
      </c>
      <c r="S15" s="103">
        <f>IFERROR(_xll.qlRateHelperEarliestDate(M15,Trigger),"--")</f>
        <v>42356</v>
      </c>
      <c r="T15" s="103">
        <f>IFERROR(_xll.qlRateHelperPillarDate(M15,Trigger),"--")</f>
        <v>43817</v>
      </c>
      <c r="V15" s="4" t="str">
        <f t="shared" si="1"/>
        <v>BasSw</v>
      </c>
      <c r="W15" s="4" t="str">
        <v>obj_00125</v>
      </c>
      <c r="X15" s="4" t="str">
        <f>IFERROR(_xll.qlRateHelperQuoteName(W15,Trigger),"")</f>
        <v>SEKAB3S9Y_Quote</v>
      </c>
      <c r="Y15" s="73">
        <f>IFERROR(_xll.qlRateHelperRate(W15,Trigger),"")</f>
        <v>1.1650000000000001E-2</v>
      </c>
      <c r="Z15" s="108">
        <f>IF(ISERROR(_xll.qlSwapRateHelperSpread($W15)),IF(ISERROR(_xll.qlFuturesRateHelperConvexityAdjustment($W15)),"",_xll.qlFuturesRateHelperConvexityAdjustment($W15)),_xll.qlSwapRateHelperSpread($W15))</f>
        <v>1.005E-3</v>
      </c>
      <c r="AA15" s="5">
        <f>IFERROR(_xll.qlRateHelperEarliestDate(W15,Trigger),"")</f>
        <v>42356</v>
      </c>
      <c r="AB15" s="5">
        <f>IFERROR(_xll.qlRateHelperPillarDate(W15,Trigger),"")</f>
        <v>45644</v>
      </c>
      <c r="AC15" s="81" t="e">
        <v>#NUM!</v>
      </c>
      <c r="AD15" s="84"/>
      <c r="AE15" s="164">
        <v>5</v>
      </c>
      <c r="AF15" s="165">
        <f>_xll.qlCalendarEndOfMonth(Calendar,_xll.qlCalendarAdvance(Calendar,AF14,"1m","mf",TRUE),Trigger)</f>
        <v>42489</v>
      </c>
      <c r="AG15" s="164" t="str">
        <f t="shared" si="10"/>
        <v>SEKJump5_SYNTHON_Quote</v>
      </c>
      <c r="AH15" s="195">
        <f>_xll.qlDayCounterYearFraction("actual/360",AF15,_xll.qlCalendarAdvance(Calendar,AF15,"1D",,,Trigger))</f>
        <v>8.3333333333333332E-3</v>
      </c>
      <c r="AI15" s="166" t="e">
        <f>IF(_xll.qlQuoteIsValid(AG15,Trigger),_xll.qlQuoteValue(AG15,Trigger),1)</f>
        <v>#NUM!</v>
      </c>
      <c r="AJ15" s="198" t="e">
        <f t="shared" si="11"/>
        <v>#NUM!</v>
      </c>
      <c r="AK15" s="203">
        <v>0</v>
      </c>
      <c r="AL15" s="166">
        <f t="shared" si="12"/>
        <v>1</v>
      </c>
    </row>
    <row r="16" spans="1:38" ht="11.25" customHeight="1" x14ac:dyDescent="0.2">
      <c r="A16" s="62" t="s">
        <v>146</v>
      </c>
      <c r="B16" s="63" t="s">
        <v>134</v>
      </c>
      <c r="C16" s="64" t="s">
        <v>6</v>
      </c>
      <c r="D16" s="64" t="s">
        <v>8</v>
      </c>
      <c r="E16" s="64" t="s">
        <v>7</v>
      </c>
      <c r="F16" s="64" t="s">
        <v>116</v>
      </c>
      <c r="G16" s="64" t="str">
        <f t="shared" si="7"/>
        <v>Sekibor1M</v>
      </c>
      <c r="H16" s="62" t="str">
        <f t="shared" si="8"/>
        <v>SEKAB3S42M_Quote</v>
      </c>
      <c r="I16" s="159" t="str">
        <f t="shared" si="9"/>
        <v>SEK1S3S42M_Quote</v>
      </c>
      <c r="J16" s="67"/>
      <c r="K16" s="51"/>
      <c r="L16" s="10" t="str">
        <f t="shared" si="5"/>
        <v>BasSw</v>
      </c>
      <c r="M16" s="98" t="str">
        <f t="shared" si="6"/>
        <v>--</v>
      </c>
      <c r="N16" s="148" t="str">
        <f>IFERROR(_xll.qlRateHelperQuoteName(M16,Trigger),"--")</f>
        <v>--</v>
      </c>
      <c r="O16" s="102" t="str">
        <f>IFERROR(_xll.qlRateHelperQuoteValue($M16,Trigger),"--")</f>
        <v>--</v>
      </c>
      <c r="P16" s="143" t="b">
        <v>0</v>
      </c>
      <c r="Q16" s="98">
        <v>50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1"/>
        <v>BasSw</v>
      </c>
      <c r="W16" s="4" t="str">
        <v>obj_00121</v>
      </c>
      <c r="X16" s="4" t="str">
        <f>IFERROR(_xll.qlRateHelperQuoteName(W16,Trigger),"")</f>
        <v>SEKAB3S10Y_Quote</v>
      </c>
      <c r="Y16" s="73">
        <f>IFERROR(_xll.qlRateHelperRate(W16,Trigger),"")</f>
        <v>1.3050000000000001E-2</v>
      </c>
      <c r="Z16" s="108">
        <f>IF(ISERROR(_xll.qlSwapRateHelperSpread($W16)),IF(ISERROR(_xll.qlFuturesRateHelperConvexityAdjustment($W16)),"",_xll.qlFuturesRateHelperConvexityAdjustment($W16)),_xll.qlSwapRateHelperSpread($W16))</f>
        <v>1.0019999999999999E-3</v>
      </c>
      <c r="AA16" s="5">
        <f>IFERROR(_xll.qlRateHelperEarliestDate(W16,Trigger),"")</f>
        <v>42356</v>
      </c>
      <c r="AB16" s="5">
        <f>IFERROR(_xll.qlRateHelperPillarDate(W16,Trigger),"")</f>
        <v>46009</v>
      </c>
      <c r="AC16" s="81" t="e">
        <v>#NUM!</v>
      </c>
      <c r="AD16" s="84"/>
      <c r="AE16" s="164">
        <v>6</v>
      </c>
      <c r="AF16" s="165">
        <f>_xll.qlCalendarEndOfMonth(Calendar,_xll.qlCalendarAdvance(Calendar,AF15,"1m","mf",TRUE),Trigger)</f>
        <v>42521</v>
      </c>
      <c r="AG16" s="164" t="str">
        <f t="shared" si="10"/>
        <v>SEKJump6_SYNTHON_Quote</v>
      </c>
      <c r="AH16" s="195">
        <f>_xll.qlDayCounterYearFraction("actual/360",AF16,_xll.qlCalendarAdvance(Calendar,AF16,"1D",,,Trigger))</f>
        <v>2.7777777777777779E-3</v>
      </c>
      <c r="AI16" s="166" t="e">
        <f>IF(_xll.qlQuoteIsValid(AG16,Trigger),_xll.qlQuoteValue(AG16,Trigger),1)</f>
        <v>#NUM!</v>
      </c>
      <c r="AJ16" s="198" t="e">
        <f t="shared" si="11"/>
        <v>#NUM!</v>
      </c>
      <c r="AK16" s="203">
        <v>0</v>
      </c>
      <c r="AL16" s="166">
        <f t="shared" si="12"/>
        <v>1</v>
      </c>
    </row>
    <row r="17" spans="1:38" ht="11.25" customHeight="1" x14ac:dyDescent="0.2">
      <c r="A17" s="62" t="s">
        <v>146</v>
      </c>
      <c r="B17" s="63" t="s">
        <v>55</v>
      </c>
      <c r="C17" s="64" t="s">
        <v>6</v>
      </c>
      <c r="D17" s="64" t="s">
        <v>8</v>
      </c>
      <c r="E17" s="64" t="s">
        <v>7</v>
      </c>
      <c r="F17" s="64" t="s">
        <v>116</v>
      </c>
      <c r="G17" s="64" t="str">
        <f t="shared" si="7"/>
        <v>Sekibor1M</v>
      </c>
      <c r="H17" s="62" t="str">
        <f t="shared" si="8"/>
        <v>SEKAB3S4Y_Quote</v>
      </c>
      <c r="I17" s="159" t="str">
        <f t="shared" si="9"/>
        <v>SEK1S3S4Y_Quote</v>
      </c>
      <c r="J17" s="67" t="str">
        <f>_xll.qlSwapRateHelper2(,H17,2,B17,Calendar,D17,E17,F17,G17,I17,C17,Discounting,PillarDate,,Permanent,Trigger,ObjectOverwrite)</f>
        <v>obj_00120#0000</v>
      </c>
      <c r="K17" s="51"/>
      <c r="L17" s="10" t="str">
        <f t="shared" si="5"/>
        <v>BasSw</v>
      </c>
      <c r="M17" s="98" t="str">
        <f t="shared" si="6"/>
        <v>obj_0011f#0000</v>
      </c>
      <c r="N17" s="148" t="str">
        <f>IFERROR(_xll.qlRateHelperQuoteName(M17,Trigger),"--")</f>
        <v>SEKAB3S5Y_Quote</v>
      </c>
      <c r="O17" s="102">
        <f>IFERROR(_xll.qlRateHelperQuoteValue($M17,Trigger),"--")</f>
        <v>3.7750000000000001E-3</v>
      </c>
      <c r="P17" s="143" t="b">
        <v>1</v>
      </c>
      <c r="Q17" s="98">
        <v>50</v>
      </c>
      <c r="R17" s="98">
        <v>1</v>
      </c>
      <c r="S17" s="103">
        <f>IFERROR(_xll.qlRateHelperEarliestDate(M17,Trigger),"--")</f>
        <v>42356</v>
      </c>
      <c r="T17" s="103">
        <f>IFERROR(_xll.qlRateHelperPillarDate(M17,Trigger),"--")</f>
        <v>44183</v>
      </c>
      <c r="V17" s="4" t="str">
        <f t="shared" si="1"/>
        <v>BasSw</v>
      </c>
      <c r="W17" s="4" t="str">
        <v>obj_0012b</v>
      </c>
      <c r="X17" s="4" t="str">
        <f>IFERROR(_xll.qlRateHelperQuoteName(W17,Trigger),"")</f>
        <v>SEKAB3S12Y_Quote</v>
      </c>
      <c r="Y17" s="73">
        <f>IFERROR(_xll.qlRateHelperRate(W17,Trigger),"")</f>
        <v>1.5375000000000002E-2</v>
      </c>
      <c r="Z17" s="108">
        <f>IF(ISERROR(_xll.qlSwapRateHelperSpread($W17)),IF(ISERROR(_xll.qlFuturesRateHelperConvexityAdjustment($W17)),"",_xll.qlFuturesRateHelperConvexityAdjustment($W17)),_xll.qlSwapRateHelperSpread($W17))</f>
        <v>9.9700000000000006E-4</v>
      </c>
      <c r="AA17" s="5">
        <f>IFERROR(_xll.qlRateHelperEarliestDate(W17,Trigger),"")</f>
        <v>42356</v>
      </c>
      <c r="AB17" s="5">
        <f>IFERROR(_xll.qlRateHelperPillarDate(W17,Trigger),"")</f>
        <v>46741</v>
      </c>
      <c r="AC17" s="81" t="e">
        <v>#NUM!</v>
      </c>
      <c r="AD17" s="84"/>
      <c r="AE17" s="164">
        <v>7</v>
      </c>
      <c r="AF17" s="165">
        <f>_xll.qlCalendarEndOfMonth(Calendar,_xll.qlCalendarAdvance(Calendar,AF16,"1m","mf",TRUE),Trigger)</f>
        <v>42551</v>
      </c>
      <c r="AG17" s="164" t="str">
        <f t="shared" si="10"/>
        <v>SEKJump7_SYNTHON_Quote</v>
      </c>
      <c r="AH17" s="195">
        <f>_xll.qlDayCounterYearFraction("actual/360",AF17,_xll.qlCalendarAdvance(Calendar,AF17,"1D",,,Trigger))</f>
        <v>2.7777777777777779E-3</v>
      </c>
      <c r="AI17" s="166" t="e">
        <f>IF(_xll.qlQuoteIsValid(AG17,Trigger),_xll.qlQuoteValue(AG17,Trigger),1)</f>
        <v>#NUM!</v>
      </c>
      <c r="AJ17" s="198" t="e">
        <f t="shared" si="11"/>
        <v>#NUM!</v>
      </c>
      <c r="AK17" s="203">
        <v>0</v>
      </c>
      <c r="AL17" s="166">
        <f t="shared" si="12"/>
        <v>1</v>
      </c>
    </row>
    <row r="18" spans="1:38" ht="11.25" customHeight="1" x14ac:dyDescent="0.2">
      <c r="A18" s="62" t="s">
        <v>146</v>
      </c>
      <c r="B18" s="63" t="s">
        <v>137</v>
      </c>
      <c r="C18" s="64" t="s">
        <v>6</v>
      </c>
      <c r="D18" s="64" t="s">
        <v>8</v>
      </c>
      <c r="E18" s="64" t="s">
        <v>7</v>
      </c>
      <c r="F18" s="64" t="s">
        <v>116</v>
      </c>
      <c r="G18" s="64" t="str">
        <f t="shared" si="7"/>
        <v>Sekibor1M</v>
      </c>
      <c r="H18" s="62" t="str">
        <f t="shared" si="8"/>
        <v>SEKAB3S54M_Quote</v>
      </c>
      <c r="I18" s="159" t="str">
        <f t="shared" si="9"/>
        <v>SEK1S3S54M_Quote</v>
      </c>
      <c r="J18" s="67"/>
      <c r="K18" s="51"/>
      <c r="L18" s="10" t="str">
        <f t="shared" si="5"/>
        <v>BasSw</v>
      </c>
      <c r="M18" s="98" t="str">
        <f t="shared" si="6"/>
        <v>obj_0012c#0000</v>
      </c>
      <c r="N18" s="148" t="str">
        <f>IFERROR(_xll.qlRateHelperQuoteName(M18,Trigger),"--")</f>
        <v>SEKAB3S6Y_Quote</v>
      </c>
      <c r="O18" s="102">
        <f>IFERROR(_xll.qlRateHelperQuoteValue($M18,Trigger),"--")</f>
        <v>6.1500000000000001E-3</v>
      </c>
      <c r="P18" s="143" t="b">
        <v>1</v>
      </c>
      <c r="Q18" s="98">
        <v>50</v>
      </c>
      <c r="R18" s="98">
        <v>1</v>
      </c>
      <c r="S18" s="103">
        <f>IFERROR(_xll.qlRateHelperEarliestDate(M18,Trigger),"--")</f>
        <v>42356</v>
      </c>
      <c r="T18" s="103">
        <f>IFERROR(_xll.qlRateHelperPillarDate(M18,Trigger),"--")</f>
        <v>44550</v>
      </c>
      <c r="V18" s="4" t="str">
        <f t="shared" si="1"/>
        <v>BasSw</v>
      </c>
      <c r="W18" s="4" t="str">
        <v>obj_00127</v>
      </c>
      <c r="X18" s="4" t="str">
        <f>IFERROR(_xll.qlRateHelperQuoteName(W18,Trigger),"")</f>
        <v>SEKAB3S15Y_Quote</v>
      </c>
      <c r="Y18" s="73">
        <f>IFERROR(_xll.qlRateHelperRate(W18,Trigger),"")</f>
        <v>1.7950000000000001E-2</v>
      </c>
      <c r="Z18" s="108">
        <f>IF(ISERROR(_xll.qlSwapRateHelperSpread($W18)),IF(ISERROR(_xll.qlFuturesRateHelperConvexityAdjustment($W18)),"",_xll.qlFuturesRateHelperConvexityAdjustment($W18)),_xll.qlSwapRateHelperSpread($W18))</f>
        <v>9.720000000000001E-4</v>
      </c>
      <c r="AA18" s="5">
        <f>IFERROR(_xll.qlRateHelperEarliestDate(W18,Trigger),"")</f>
        <v>42356</v>
      </c>
      <c r="AB18" s="5">
        <f>IFERROR(_xll.qlRateHelperPillarDate(W18,Trigger),"")</f>
        <v>47835</v>
      </c>
      <c r="AC18" s="81" t="e">
        <v>#NUM!</v>
      </c>
      <c r="AD18" s="84"/>
      <c r="AE18" s="164">
        <v>8</v>
      </c>
      <c r="AF18" s="165">
        <f>_xll.qlCalendarEndOfMonth(Calendar,_xll.qlCalendarAdvance(Calendar,AF17,"1m","mf",TRUE),Trigger)</f>
        <v>42580</v>
      </c>
      <c r="AG18" s="164" t="str">
        <f t="shared" si="10"/>
        <v>SEKJump8_SYNTHON_Quote</v>
      </c>
      <c r="AH18" s="195">
        <f>_xll.qlDayCounterYearFraction("actual/360",AF18,_xll.qlCalendarAdvance(Calendar,AF18,"1D",,,Trigger))</f>
        <v>8.3333333333333332E-3</v>
      </c>
      <c r="AI18" s="166" t="e">
        <f>IF(_xll.qlQuoteIsValid(AG18,Trigger),_xll.qlQuoteValue(AG18,Trigger),1)</f>
        <v>#NUM!</v>
      </c>
      <c r="AJ18" s="198" t="e">
        <f t="shared" si="11"/>
        <v>#NUM!</v>
      </c>
      <c r="AK18" s="203">
        <v>0</v>
      </c>
      <c r="AL18" s="166">
        <f t="shared" si="12"/>
        <v>1</v>
      </c>
    </row>
    <row r="19" spans="1:38" ht="11.25" customHeight="1" x14ac:dyDescent="0.2">
      <c r="A19" s="62" t="s">
        <v>146</v>
      </c>
      <c r="B19" s="63" t="s">
        <v>56</v>
      </c>
      <c r="C19" s="64" t="s">
        <v>6</v>
      </c>
      <c r="D19" s="64" t="s">
        <v>8</v>
      </c>
      <c r="E19" s="64" t="s">
        <v>7</v>
      </c>
      <c r="F19" s="64" t="s">
        <v>116</v>
      </c>
      <c r="G19" s="64" t="str">
        <f t="shared" si="7"/>
        <v>Sekibor1M</v>
      </c>
      <c r="H19" s="62" t="str">
        <f t="shared" si="8"/>
        <v>SEKAB3S5Y_Quote</v>
      </c>
      <c r="I19" s="159" t="str">
        <f t="shared" si="9"/>
        <v>SEK1S3S5Y_Quote</v>
      </c>
      <c r="J19" s="67" t="str">
        <f>_xll.qlSwapRateHelper2(,H19,2,B19,Calendar,D19,E19,F19,G19,I19,C19,Discounting,PillarDate,,Permanent,Trigger,ObjectOverwrite)</f>
        <v>obj_0011f#0000</v>
      </c>
      <c r="K19" s="51"/>
      <c r="L19" s="10" t="str">
        <f t="shared" si="5"/>
        <v>BasSw</v>
      </c>
      <c r="M19" s="98" t="str">
        <f t="shared" si="6"/>
        <v>obj_0011e#0000</v>
      </c>
      <c r="N19" s="148" t="str">
        <f>IFERROR(_xll.qlRateHelperQuoteName(M19,Trigger),"--")</f>
        <v>SEKAB3S7Y_Quote</v>
      </c>
      <c r="O19" s="102">
        <f>IFERROR(_xll.qlRateHelperQuoteValue($M19,Trigger),"--")</f>
        <v>8.2500000000000004E-3</v>
      </c>
      <c r="P19" s="143" t="b">
        <v>1</v>
      </c>
      <c r="Q19" s="98">
        <v>50</v>
      </c>
      <c r="R19" s="98">
        <v>1</v>
      </c>
      <c r="S19" s="103">
        <f>IFERROR(_xll.qlRateHelperEarliestDate(M19,Trigger),"--")</f>
        <v>42356</v>
      </c>
      <c r="T19" s="103">
        <f>IFERROR(_xll.qlRateHelperPillarDate(M19,Trigger),"--")</f>
        <v>44914</v>
      </c>
      <c r="V19" s="4" t="str">
        <f t="shared" si="1"/>
        <v>BasSw</v>
      </c>
      <c r="W19" s="4" t="str">
        <v>obj_00128</v>
      </c>
      <c r="X19" s="4" t="str">
        <f>IFERROR(_xll.qlRateHelperQuoteName(W19,Trigger),"")</f>
        <v>SEKAB3S20Y_Quote</v>
      </c>
      <c r="Y19" s="73">
        <f>IFERROR(_xll.qlRateHelperRate(W19,Trigger),"")</f>
        <v>2.07E-2</v>
      </c>
      <c r="Z19" s="108">
        <f>IF(ISERROR(_xll.qlSwapRateHelperSpread($W19)),IF(ISERROR(_xll.qlFuturesRateHelperConvexityAdjustment($W19)),"",_xll.qlFuturesRateHelperConvexityAdjustment($W19)),_xll.qlSwapRateHelperSpread($W19))</f>
        <v>9.1799999999999998E-4</v>
      </c>
      <c r="AA19" s="5">
        <f>IFERROR(_xll.qlRateHelperEarliestDate(W19,Trigger),"")</f>
        <v>42356</v>
      </c>
      <c r="AB19" s="5">
        <f>IFERROR(_xll.qlRateHelperPillarDate(W19,Trigger),"")</f>
        <v>49661</v>
      </c>
      <c r="AC19" s="81" t="e">
        <v>#NUM!</v>
      </c>
      <c r="AD19" s="84"/>
      <c r="AE19" s="164">
        <v>9</v>
      </c>
      <c r="AF19" s="165">
        <f>_xll.qlCalendarEndOfMonth(Calendar,_xll.qlCalendarAdvance(Calendar,AF18,"1m","mf",TRUE),Trigger)</f>
        <v>42613</v>
      </c>
      <c r="AG19" s="164" t="str">
        <f t="shared" si="10"/>
        <v>SEKJump9_SYNTHON_Quote</v>
      </c>
      <c r="AH19" s="195">
        <f>_xll.qlDayCounterYearFraction("actual/360",AF19,_xll.qlCalendarAdvance(Calendar,AF19,"1D",,,Trigger))</f>
        <v>2.7777777777777779E-3</v>
      </c>
      <c r="AI19" s="166" t="e">
        <f>IF(_xll.qlQuoteIsValid(AG19,Trigger),_xll.qlQuoteValue(AG19,Trigger),1)</f>
        <v>#NUM!</v>
      </c>
      <c r="AJ19" s="198" t="e">
        <f t="shared" si="11"/>
        <v>#NUM!</v>
      </c>
      <c r="AK19" s="203">
        <v>0</v>
      </c>
      <c r="AL19" s="166">
        <f t="shared" si="12"/>
        <v>1</v>
      </c>
    </row>
    <row r="20" spans="1:38" ht="11.25" customHeight="1" x14ac:dyDescent="0.2">
      <c r="A20" s="62" t="s">
        <v>146</v>
      </c>
      <c r="B20" s="63" t="s">
        <v>57</v>
      </c>
      <c r="C20" s="64" t="s">
        <v>6</v>
      </c>
      <c r="D20" s="64" t="s">
        <v>8</v>
      </c>
      <c r="E20" s="64" t="s">
        <v>7</v>
      </c>
      <c r="F20" s="64" t="s">
        <v>116</v>
      </c>
      <c r="G20" s="64" t="str">
        <f t="shared" si="7"/>
        <v>Sekibor1M</v>
      </c>
      <c r="H20" s="62" t="str">
        <f t="shared" si="8"/>
        <v>SEKAB3S6Y_Quote</v>
      </c>
      <c r="I20" s="159" t="str">
        <f t="shared" si="9"/>
        <v>SEK1S3S6Y_Quote</v>
      </c>
      <c r="J20" s="67" t="str">
        <f>_xll.qlSwapRateHelper2(,H20,2,B20,Calendar,D20,E20,F20,G20,I20,C20,Discounting,PillarDate,,Permanent,Trigger,ObjectOverwrite)</f>
        <v>obj_0012c#0000</v>
      </c>
      <c r="K20" s="51"/>
      <c r="L20" s="10" t="str">
        <f t="shared" si="5"/>
        <v>BasSw</v>
      </c>
      <c r="M20" s="98" t="str">
        <f t="shared" si="6"/>
        <v>obj_00122#0000</v>
      </c>
      <c r="N20" s="148" t="str">
        <f>IFERROR(_xll.qlRateHelperQuoteName(M20,Trigger),"--")</f>
        <v>SEKAB3S8Y_Quote</v>
      </c>
      <c r="O20" s="102">
        <f>IFERROR(_xll.qlRateHelperQuoteValue($M20,Trigger),"--")</f>
        <v>1.0050000000000002E-2</v>
      </c>
      <c r="P20" s="143" t="b">
        <v>1</v>
      </c>
      <c r="Q20" s="98">
        <v>50</v>
      </c>
      <c r="R20" s="98">
        <v>1</v>
      </c>
      <c r="S20" s="103">
        <f>IFERROR(_xll.qlRateHelperEarliestDate(M20,Trigger),"--")</f>
        <v>42356</v>
      </c>
      <c r="T20" s="103">
        <f>IFERROR(_xll.qlRateHelperPillarDate(M20,Trigger),"--")</f>
        <v>45278</v>
      </c>
      <c r="V20" s="4" t="str">
        <f t="shared" si="1"/>
        <v>BasSw</v>
      </c>
      <c r="W20" s="4" t="str">
        <v>obj_00129</v>
      </c>
      <c r="X20" s="4" t="str">
        <f>IFERROR(_xll.qlRateHelperQuoteName(W20,Trigger),"")</f>
        <v>SEKAB3S25Y_Quote</v>
      </c>
      <c r="Y20" s="73">
        <f>IFERROR(_xll.qlRateHelperRate(W20,Trigger),"")</f>
        <v>2.1949999999999997E-2</v>
      </c>
      <c r="Z20" s="108">
        <f>IF(ISERROR(_xll.qlSwapRateHelperSpread($W20)),IF(ISERROR(_xll.qlFuturesRateHelperConvexityAdjustment($W20)),"",_xll.qlFuturesRateHelperConvexityAdjustment($W20)),_xll.qlSwapRateHelperSpread($W20))</f>
        <v>8.7599999999999993E-4</v>
      </c>
      <c r="AA20" s="5">
        <f>IFERROR(_xll.qlRateHelperEarliestDate(W20,Trigger),"")</f>
        <v>42356</v>
      </c>
      <c r="AB20" s="5">
        <f>IFERROR(_xll.qlRateHelperPillarDate(W20,Trigger),"")</f>
        <v>51488</v>
      </c>
      <c r="AC20" s="81" t="e">
        <v>#NUM!</v>
      </c>
      <c r="AD20" s="84"/>
      <c r="AE20" s="164">
        <v>10</v>
      </c>
      <c r="AF20" s="165">
        <f>_xll.qlCalendarEndOfMonth(Calendar,_xll.qlCalendarAdvance(Calendar,AF19,"1m","mf",TRUE),Trigger)</f>
        <v>42643</v>
      </c>
      <c r="AG20" s="164" t="str">
        <f t="shared" si="10"/>
        <v>SEKJump10_SYNTHON_Quote</v>
      </c>
      <c r="AH20" s="195">
        <f>_xll.qlDayCounterYearFraction("actual/360",AF20,_xll.qlCalendarAdvance(Calendar,AF20,"1D",,,Trigger))</f>
        <v>8.3333333333333332E-3</v>
      </c>
      <c r="AI20" s="166" t="e">
        <f>IF(_xll.qlQuoteIsValid(AG20,Trigger),_xll.qlQuoteValue(AG20,Trigger),1)</f>
        <v>#NUM!</v>
      </c>
      <c r="AJ20" s="198" t="e">
        <f t="shared" si="11"/>
        <v>#NUM!</v>
      </c>
      <c r="AK20" s="203">
        <v>0</v>
      </c>
      <c r="AL20" s="166">
        <f t="shared" si="12"/>
        <v>1</v>
      </c>
    </row>
    <row r="21" spans="1:38" ht="11.25" customHeight="1" x14ac:dyDescent="0.2">
      <c r="A21" s="62" t="s">
        <v>146</v>
      </c>
      <c r="B21" s="63" t="s">
        <v>58</v>
      </c>
      <c r="C21" s="64" t="s">
        <v>6</v>
      </c>
      <c r="D21" s="64" t="s">
        <v>8</v>
      </c>
      <c r="E21" s="64" t="s">
        <v>7</v>
      </c>
      <c r="F21" s="64" t="s">
        <v>116</v>
      </c>
      <c r="G21" s="64" t="str">
        <f t="shared" si="7"/>
        <v>Sekibor1M</v>
      </c>
      <c r="H21" s="62" t="str">
        <f t="shared" si="8"/>
        <v>SEKAB3S7Y_Quote</v>
      </c>
      <c r="I21" s="159" t="str">
        <f t="shared" si="9"/>
        <v>SEK1S3S7Y_Quote</v>
      </c>
      <c r="J21" s="67" t="str">
        <f>_xll.qlSwapRateHelper2(,H21,2,B21,Calendar,D21,E21,F21,G21,I21,C21,Discounting,PillarDate,,Permanent,Trigger,ObjectOverwrite)</f>
        <v>obj_0011e#0000</v>
      </c>
      <c r="K21" s="51"/>
      <c r="L21" s="10" t="str">
        <f t="shared" si="5"/>
        <v>BasSw</v>
      </c>
      <c r="M21" s="98" t="str">
        <f t="shared" si="6"/>
        <v>obj_00125#0000</v>
      </c>
      <c r="N21" s="148" t="str">
        <f>IFERROR(_xll.qlRateHelperQuoteName(M21,Trigger),"--")</f>
        <v>SEKAB3S9Y_Quote</v>
      </c>
      <c r="O21" s="102">
        <f>IFERROR(_xll.qlRateHelperQuoteValue($M21,Trigger),"--")</f>
        <v>1.1650000000000001E-2</v>
      </c>
      <c r="P21" s="143" t="b">
        <v>1</v>
      </c>
      <c r="Q21" s="98">
        <v>50</v>
      </c>
      <c r="R21" s="98">
        <v>1</v>
      </c>
      <c r="S21" s="103">
        <f>IFERROR(_xll.qlRateHelperEarliestDate(M21,Trigger),"--")</f>
        <v>42356</v>
      </c>
      <c r="T21" s="103">
        <f>IFERROR(_xll.qlRateHelperPillarDate(M21,Trigger),"--")</f>
        <v>45644</v>
      </c>
      <c r="V21" s="4" t="str">
        <f t="shared" si="1"/>
        <v>BasSw</v>
      </c>
      <c r="W21" s="4" t="str">
        <v>obj_0012a</v>
      </c>
      <c r="X21" s="4" t="str">
        <f>IFERROR(_xll.qlRateHelperQuoteName(W21,Trigger),"")</f>
        <v>SEKAB3S30Y_Quote</v>
      </c>
      <c r="Y21" s="73">
        <f>IFERROR(_xll.qlRateHelperRate(W21,Trigger),"")</f>
        <v>2.2249999999999995E-2</v>
      </c>
      <c r="Z21" s="108">
        <f>IF(ISERROR(_xll.qlSwapRateHelperSpread($W21)),IF(ISERROR(_xll.qlFuturesRateHelperConvexityAdjustment($W21)),"",_xll.qlFuturesRateHelperConvexityAdjustment($W21)),_xll.qlSwapRateHelperSpread($W21))</f>
        <v>8.52E-4</v>
      </c>
      <c r="AA21" s="5">
        <f>IFERROR(_xll.qlRateHelperEarliestDate(W21,Trigger),"")</f>
        <v>42356</v>
      </c>
      <c r="AB21" s="5">
        <f>IFERROR(_xll.qlRateHelperPillarDate(W21,Trigger),"")</f>
        <v>53314</v>
      </c>
      <c r="AC21" s="81" t="e">
        <v>#NUM!</v>
      </c>
      <c r="AD21" s="84"/>
      <c r="AE21" s="164">
        <v>11</v>
      </c>
      <c r="AF21" s="165">
        <f>_xll.qlCalendarEndOfMonth(Calendar,_xll.qlCalendarAdvance(Calendar,AF20,"1m","mf",TRUE),Trigger)</f>
        <v>42674</v>
      </c>
      <c r="AG21" s="164" t="str">
        <f t="shared" si="10"/>
        <v>SEKJump11_SYNTHON_Quote</v>
      </c>
      <c r="AH21" s="195">
        <f>_xll.qlDayCounterYearFraction("actual/360",AF21,_xll.qlCalendarAdvance(Calendar,AF21,"1D",,,Trigger))</f>
        <v>2.7777777777777779E-3</v>
      </c>
      <c r="AI21" s="166" t="e">
        <f>IF(_xll.qlQuoteIsValid(AG21,Trigger),_xll.qlQuoteValue(AG21,Trigger),1)</f>
        <v>#NUM!</v>
      </c>
      <c r="AJ21" s="198" t="e">
        <f t="shared" si="11"/>
        <v>#NUM!</v>
      </c>
      <c r="AK21" s="203">
        <v>0</v>
      </c>
      <c r="AL21" s="166">
        <f t="shared" si="12"/>
        <v>1</v>
      </c>
    </row>
    <row r="22" spans="1:38" ht="11.25" customHeight="1" x14ac:dyDescent="0.2">
      <c r="A22" s="62" t="s">
        <v>146</v>
      </c>
      <c r="B22" s="63" t="s">
        <v>59</v>
      </c>
      <c r="C22" s="64" t="s">
        <v>6</v>
      </c>
      <c r="D22" s="64" t="s">
        <v>8</v>
      </c>
      <c r="E22" s="64" t="s">
        <v>7</v>
      </c>
      <c r="F22" s="64" t="s">
        <v>116</v>
      </c>
      <c r="G22" s="64" t="str">
        <f t="shared" si="7"/>
        <v>Sekibor1M</v>
      </c>
      <c r="H22" s="62" t="str">
        <f t="shared" si="8"/>
        <v>SEKAB3S8Y_Quote</v>
      </c>
      <c r="I22" s="159" t="str">
        <f t="shared" si="9"/>
        <v>SEK1S3S8Y_Quote</v>
      </c>
      <c r="J22" s="67" t="str">
        <f>_xll.qlSwapRateHelper2(,H22,2,B22,Calendar,D22,E22,F22,G22,I22,C22,Discounting,PillarDate,,Permanent,Trigger,ObjectOverwrite)</f>
        <v>obj_00122#0000</v>
      </c>
      <c r="K22" s="51"/>
      <c r="L22" s="10" t="str">
        <f t="shared" si="5"/>
        <v>BasSw</v>
      </c>
      <c r="M22" s="98" t="str">
        <f t="shared" si="6"/>
        <v>obj_00121#0000</v>
      </c>
      <c r="N22" s="148" t="str">
        <f>IFERROR(_xll.qlRateHelperQuoteName(M22,Trigger),"--")</f>
        <v>SEKAB3S10Y_Quote</v>
      </c>
      <c r="O22" s="102">
        <f>IFERROR(_xll.qlRateHelperQuoteValue($M22,Trigger),"--")</f>
        <v>1.3050000000000001E-2</v>
      </c>
      <c r="P22" s="143" t="b">
        <v>1</v>
      </c>
      <c r="Q22" s="98">
        <v>50</v>
      </c>
      <c r="R22" s="98">
        <v>1</v>
      </c>
      <c r="S22" s="103">
        <f>IFERROR(_xll.qlRateHelperEarliestDate(M22,Trigger),"--")</f>
        <v>42356</v>
      </c>
      <c r="T22" s="103">
        <f>IFERROR(_xll.qlRateHelperPillarDate(M22,Trigger),"--")</f>
        <v>46009</v>
      </c>
      <c r="V22" s="4" t="str">
        <f t="shared" si="1"/>
        <v/>
      </c>
      <c r="W22" s="4" t="e">
        <v>#N/A</v>
      </c>
      <c r="X22" s="4" t="str">
        <f>IFERROR(_xll.qlRateHelperQuoteName(W22,Trigger),"")</f>
        <v/>
      </c>
      <c r="Y22" s="73" t="str">
        <f>IFERROR(_xll.qlRateHelperRate(W22,Trigger),"")</f>
        <v/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 t="str">
        <f>IFERROR(_xll.qlRateHelperEarliestDate(W22,Trigger),"")</f>
        <v/>
      </c>
      <c r="AB22" s="5" t="str">
        <f>IFERROR(_xll.qlRateHelperPillarDate(W22,Trigger),"")</f>
        <v/>
      </c>
      <c r="AC22" s="81" t="e">
        <v>#NUM!</v>
      </c>
      <c r="AD22" s="84"/>
      <c r="AE22" s="164">
        <v>12</v>
      </c>
      <c r="AF22" s="165">
        <f>_xll.qlCalendarEndOfMonth(Calendar,_xll.qlCalendarAdvance(Calendar,AF21,"1m","mf",TRUE),Trigger)</f>
        <v>42704</v>
      </c>
      <c r="AG22" s="164" t="str">
        <f t="shared" si="10"/>
        <v>SEKJump12_SYNTHON_Quote</v>
      </c>
      <c r="AH22" s="195">
        <f>_xll.qlDayCounterYearFraction("actual/360",AF22,_xll.qlCalendarAdvance(Calendar,AF22,"1D",,,Trigger))</f>
        <v>2.7777777777777779E-3</v>
      </c>
      <c r="AI22" s="166" t="e">
        <f>IF(_xll.qlQuoteIsValid(AG22,Trigger),_xll.qlQuoteValue(AG22,Trigger),1)</f>
        <v>#NUM!</v>
      </c>
      <c r="AJ22" s="198" t="e">
        <f t="shared" si="11"/>
        <v>#NUM!</v>
      </c>
      <c r="AK22" s="203">
        <v>0</v>
      </c>
      <c r="AL22" s="166">
        <f t="shared" si="12"/>
        <v>1</v>
      </c>
    </row>
    <row r="23" spans="1:38" ht="11.25" customHeight="1" x14ac:dyDescent="0.2">
      <c r="A23" s="62" t="s">
        <v>146</v>
      </c>
      <c r="B23" s="63" t="s">
        <v>60</v>
      </c>
      <c r="C23" s="64" t="s">
        <v>6</v>
      </c>
      <c r="D23" s="64" t="s">
        <v>8</v>
      </c>
      <c r="E23" s="64" t="s">
        <v>7</v>
      </c>
      <c r="F23" s="64" t="s">
        <v>116</v>
      </c>
      <c r="G23" s="64" t="str">
        <f t="shared" si="7"/>
        <v>Sekibor1M</v>
      </c>
      <c r="H23" s="62" t="str">
        <f t="shared" si="8"/>
        <v>SEKAB3S9Y_Quote</v>
      </c>
      <c r="I23" s="159" t="str">
        <f t="shared" si="9"/>
        <v>SEK1S3S9Y_Quote</v>
      </c>
      <c r="J23" s="67" t="str">
        <f>_xll.qlSwapRateHelper2(,H23,2,B23,Calendar,D23,E23,F23,G23,I23,C23,Discounting,PillarDate,,Permanent,Trigger,ObjectOverwrite)</f>
        <v>obj_00125#0000</v>
      </c>
      <c r="K23" s="51"/>
      <c r="L23" s="10" t="str">
        <f t="shared" si="5"/>
        <v>BasSw</v>
      </c>
      <c r="M23" s="98" t="str">
        <f t="shared" si="6"/>
        <v>obj_0012b#0000</v>
      </c>
      <c r="N23" s="148" t="str">
        <f>IFERROR(_xll.qlRateHelperQuoteName(M23,Trigger),"--")</f>
        <v>SEKAB3S12Y_Quote</v>
      </c>
      <c r="O23" s="102">
        <f>IFERROR(_xll.qlRateHelperQuoteValue($M23,Trigger),"--")</f>
        <v>1.5375000000000002E-2</v>
      </c>
      <c r="P23" s="143" t="b">
        <v>1</v>
      </c>
      <c r="Q23" s="98">
        <v>50</v>
      </c>
      <c r="R23" s="98">
        <v>1</v>
      </c>
      <c r="S23" s="103">
        <f>IFERROR(_xll.qlRateHelperEarliestDate(M23,Trigger),"--")</f>
        <v>42356</v>
      </c>
      <c r="T23" s="103">
        <f>IFERROR(_xll.qlRateHelperPillarDate(M23,Trigger),"--")</f>
        <v>46741</v>
      </c>
      <c r="V23" s="4" t="str">
        <f t="shared" si="1"/>
        <v/>
      </c>
      <c r="W23" s="4" t="e">
        <v>#N/A</v>
      </c>
      <c r="X23" s="4" t="str">
        <f>IFERROR(_xll.qlRateHelperQuoteName(W23,Trigger),"")</f>
        <v/>
      </c>
      <c r="Y23" s="73" t="str">
        <f>IFERROR(_xll.qlRateHelperRate(W23,Trigger),"")</f>
        <v/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 t="str">
        <f>IFERROR(_xll.qlRateHelperEarliestDate(W23,Trigger),"")</f>
        <v/>
      </c>
      <c r="AB23" s="5" t="str">
        <f>IFERROR(_xll.qlRateHelperPillarDate(W23,Trigger),"")</f>
        <v/>
      </c>
      <c r="AC23" s="81" t="e">
        <v>#NUM!</v>
      </c>
      <c r="AD23" s="84"/>
      <c r="AE23" s="167">
        <v>13</v>
      </c>
      <c r="AF23" s="168">
        <f>_xll.qlCalendarAdjust(Calendar,DATE(YEAR(AF11)+1,12,31),"preceding",Trigger)</f>
        <v>42734</v>
      </c>
      <c r="AG23" s="167" t="str">
        <f t="shared" si="10"/>
        <v>SEKJump13_SYNTHON_Quote</v>
      </c>
      <c r="AH23" s="196">
        <f>_xll.qlDayCounterYearFraction("actual/360",AF23,_xll.qlCalendarAdvance(Calendar,AF23,"1D",,,Trigger))</f>
        <v>8.3333333333333332E-3</v>
      </c>
      <c r="AI23" s="169" t="e">
        <f>IF(_xll.qlQuoteIsValid(AG23,Trigger),_xll.qlQuoteValue(AG23,Trigger),1)</f>
        <v>#NUM!</v>
      </c>
      <c r="AJ23" s="199" t="e">
        <f t="shared" si="11"/>
        <v>#NUM!</v>
      </c>
      <c r="AK23" s="204">
        <v>0</v>
      </c>
      <c r="AL23" s="169">
        <f t="shared" si="12"/>
        <v>1</v>
      </c>
    </row>
    <row r="24" spans="1:38" ht="11.25" customHeight="1" x14ac:dyDescent="0.2">
      <c r="A24" s="62" t="s">
        <v>146</v>
      </c>
      <c r="B24" s="63" t="s">
        <v>61</v>
      </c>
      <c r="C24" s="64" t="s">
        <v>6</v>
      </c>
      <c r="D24" s="64" t="s">
        <v>8</v>
      </c>
      <c r="E24" s="64" t="s">
        <v>7</v>
      </c>
      <c r="F24" s="64" t="s">
        <v>116</v>
      </c>
      <c r="G24" s="64" t="str">
        <f t="shared" si="7"/>
        <v>Sekibor1M</v>
      </c>
      <c r="H24" s="62" t="str">
        <f t="shared" si="8"/>
        <v>SEKAB3S10Y_Quote</v>
      </c>
      <c r="I24" s="159" t="str">
        <f t="shared" si="9"/>
        <v>SEK1S3S10Y_Quote</v>
      </c>
      <c r="J24" s="67" t="str">
        <f>_xll.qlSwapRateHelper2(,H24,2,B24,Calendar,D24,E24,F24,G24,I24,C24,Discounting,PillarDate,,Permanent,Trigger,ObjectOverwrite)</f>
        <v>obj_00121#0000</v>
      </c>
      <c r="K24" s="51"/>
      <c r="L24" s="10" t="str">
        <f t="shared" si="5"/>
        <v>BasSw</v>
      </c>
      <c r="M24" s="98" t="str">
        <f t="shared" si="6"/>
        <v>obj_00127#0000</v>
      </c>
      <c r="N24" s="148" t="str">
        <f>IFERROR(_xll.qlRateHelperQuoteName(M24,Trigger),"--")</f>
        <v>SEKAB3S15Y_Quote</v>
      </c>
      <c r="O24" s="102">
        <f>IFERROR(_xll.qlRateHelperQuoteValue($M24,Trigger),"--")</f>
        <v>1.7950000000000001E-2</v>
      </c>
      <c r="P24" s="143" t="b">
        <v>1</v>
      </c>
      <c r="Q24" s="98">
        <v>50</v>
      </c>
      <c r="R24" s="98">
        <v>1</v>
      </c>
      <c r="S24" s="103">
        <f>IFERROR(_xll.qlRateHelperEarliestDate(M24,Trigger),"--")</f>
        <v>42356</v>
      </c>
      <c r="T24" s="103">
        <f>IFERROR(_xll.qlRateHelperPillarDate(M24,Trigger),"--")</f>
        <v>47835</v>
      </c>
      <c r="V24" s="4" t="str">
        <f t="shared" si="1"/>
        <v/>
      </c>
      <c r="W24" s="4" t="e">
        <v>#N/A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#NUM!</v>
      </c>
      <c r="AD24" s="84"/>
    </row>
    <row r="25" spans="1:38" ht="11.25" customHeight="1" x14ac:dyDescent="0.2">
      <c r="A25" s="62" t="s">
        <v>146</v>
      </c>
      <c r="B25" s="63" t="s">
        <v>62</v>
      </c>
      <c r="C25" s="64" t="s">
        <v>6</v>
      </c>
      <c r="D25" s="64" t="s">
        <v>8</v>
      </c>
      <c r="E25" s="64" t="s">
        <v>7</v>
      </c>
      <c r="F25" s="64" t="s">
        <v>116</v>
      </c>
      <c r="G25" s="64" t="str">
        <f t="shared" si="7"/>
        <v>Sekibor1M</v>
      </c>
      <c r="H25" s="62" t="str">
        <f t="shared" si="8"/>
        <v>SEKAB3S12Y_Quote</v>
      </c>
      <c r="I25" s="159" t="str">
        <f t="shared" si="9"/>
        <v>SEK1S3S12Y_Quote</v>
      </c>
      <c r="J25" s="67" t="str">
        <f>_xll.qlSwapRateHelper2(,H25,2,B25,Calendar,D25,E25,F25,G25,I25,C25,Discounting,PillarDate,,Permanent,Trigger,ObjectOverwrite)</f>
        <v>obj_0012b#0000</v>
      </c>
      <c r="K25" s="51"/>
      <c r="L25" s="10" t="str">
        <f t="shared" si="5"/>
        <v>BasSw</v>
      </c>
      <c r="M25" s="98" t="str">
        <f t="shared" si="6"/>
        <v>obj_00128#0000</v>
      </c>
      <c r="N25" s="148" t="str">
        <f>IFERROR(_xll.qlRateHelperQuoteName(M25,Trigger),"--")</f>
        <v>SEKAB3S20Y_Quote</v>
      </c>
      <c r="O25" s="102">
        <f>IFERROR(_xll.qlRateHelperQuoteValue($M25,Trigger),"--")</f>
        <v>2.07E-2</v>
      </c>
      <c r="P25" s="143" t="b">
        <v>1</v>
      </c>
      <c r="Q25" s="98">
        <v>50</v>
      </c>
      <c r="R25" s="98">
        <v>1</v>
      </c>
      <c r="S25" s="103">
        <f>IFERROR(_xll.qlRateHelperEarliestDate(M25,Trigger),"--")</f>
        <v>42356</v>
      </c>
      <c r="T25" s="103">
        <f>IFERROR(_xll.qlRateHelperPillarDate(M25,Trigger),"--")</f>
        <v>49661</v>
      </c>
      <c r="V25" s="4" t="str">
        <f t="shared" si="1"/>
        <v/>
      </c>
      <c r="W25" s="4" t="e">
        <v>#N/A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#NUM!</v>
      </c>
      <c r="AD25" s="84"/>
    </row>
    <row r="26" spans="1:38" ht="11.25" customHeight="1" x14ac:dyDescent="0.2">
      <c r="A26" s="62" t="s">
        <v>146</v>
      </c>
      <c r="B26" s="63" t="s">
        <v>63</v>
      </c>
      <c r="C26" s="64" t="s">
        <v>6</v>
      </c>
      <c r="D26" s="64" t="s">
        <v>8</v>
      </c>
      <c r="E26" s="64" t="s">
        <v>7</v>
      </c>
      <c r="F26" s="64" t="s">
        <v>116</v>
      </c>
      <c r="G26" s="64" t="str">
        <f t="shared" si="7"/>
        <v>Sekibor1M</v>
      </c>
      <c r="H26" s="62" t="str">
        <f t="shared" si="8"/>
        <v>SEKAB3S15Y_Quote</v>
      </c>
      <c r="I26" s="159" t="str">
        <f t="shared" si="9"/>
        <v>SEK1S3S15Y_Quote</v>
      </c>
      <c r="J26" s="67" t="str">
        <f>_xll.qlSwapRateHelper2(,H26,2,B26,Calendar,D26,E26,F26,G26,I26,C26,Discounting,PillarDate,,Permanent,Trigger,ObjectOverwrite)</f>
        <v>obj_00127#0000</v>
      </c>
      <c r="K26" s="51"/>
      <c r="L26" s="10" t="str">
        <f t="shared" si="5"/>
        <v>BasSw</v>
      </c>
      <c r="M26" s="98" t="str">
        <f t="shared" si="6"/>
        <v>obj_00129#0000</v>
      </c>
      <c r="N26" s="148" t="str">
        <f>IFERROR(_xll.qlRateHelperQuoteName(M26,Trigger),"--")</f>
        <v>SEKAB3S25Y_Quote</v>
      </c>
      <c r="O26" s="102">
        <f>IFERROR(_xll.qlRateHelperQuoteValue($M26,Trigger),"--")</f>
        <v>2.1949999999999997E-2</v>
      </c>
      <c r="P26" s="143" t="b">
        <v>1</v>
      </c>
      <c r="Q26" s="98">
        <v>50</v>
      </c>
      <c r="R26" s="98">
        <v>1</v>
      </c>
      <c r="S26" s="103">
        <f>IFERROR(_xll.qlRateHelperEarliestDate(M26,Trigger),"--")</f>
        <v>42356</v>
      </c>
      <c r="T26" s="103">
        <f>IFERROR(_xll.qlRateHelperPillarDate(M26,Trigger),"--")</f>
        <v>51488</v>
      </c>
      <c r="V26" s="4" t="str">
        <f t="shared" si="1"/>
        <v/>
      </c>
      <c r="W26" s="4" t="e">
        <v>#N/A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#NUM!</v>
      </c>
      <c r="AD26" s="84"/>
    </row>
    <row r="27" spans="1:38" ht="11.25" customHeight="1" x14ac:dyDescent="0.2">
      <c r="A27" s="62" t="s">
        <v>146</v>
      </c>
      <c r="B27" s="63" t="s">
        <v>64</v>
      </c>
      <c r="C27" s="64" t="s">
        <v>6</v>
      </c>
      <c r="D27" s="64" t="s">
        <v>8</v>
      </c>
      <c r="E27" s="64" t="s">
        <v>7</v>
      </c>
      <c r="F27" s="64" t="s">
        <v>116</v>
      </c>
      <c r="G27" s="64" t="str">
        <f t="shared" si="7"/>
        <v>Sekibor1M</v>
      </c>
      <c r="H27" s="62" t="str">
        <f t="shared" si="8"/>
        <v>SEKAB3S20Y_Quote</v>
      </c>
      <c r="I27" s="159" t="str">
        <f t="shared" si="9"/>
        <v>SEK1S3S20Y_Quote</v>
      </c>
      <c r="J27" s="67" t="str">
        <f>_xll.qlSwapRateHelper2(,H27,2,B27,Calendar,D27,E27,F27,G27,I27,C27,Discounting,PillarDate,,Permanent,Trigger,ObjectOverwrite)</f>
        <v>obj_00128#0000</v>
      </c>
      <c r="K27" s="51"/>
      <c r="L27" s="10" t="str">
        <f t="shared" si="5"/>
        <v>BasSw</v>
      </c>
      <c r="M27" s="98" t="str">
        <f t="shared" si="6"/>
        <v>--</v>
      </c>
      <c r="N27" s="148" t="str">
        <f>IFERROR(_xll.qlRateHelperQuoteName(M27,Trigger),"--")</f>
        <v>--</v>
      </c>
      <c r="O27" s="102" t="str">
        <f>IFERROR(_xll.qlRateHelperQuoteValue($M27,Trigger),"--")</f>
        <v>--</v>
      </c>
      <c r="P27" s="143" t="b">
        <v>0</v>
      </c>
      <c r="Q27" s="98">
        <v>50</v>
      </c>
      <c r="R27" s="98">
        <v>1</v>
      </c>
      <c r="S27" s="103" t="str">
        <f>IFERROR(_xll.qlRateHelperEarliestDate(M27,Trigger),"--")</f>
        <v>--</v>
      </c>
      <c r="T27" s="103" t="str">
        <f>IFERROR(_xll.qlRateHelperPillarDate(M27,Trigger),"--")</f>
        <v>--</v>
      </c>
      <c r="V27" s="4" t="str">
        <f t="shared" si="1"/>
        <v/>
      </c>
      <c r="W27" s="4" t="e">
        <v>#N/A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#NUM!</v>
      </c>
      <c r="AD27" s="84"/>
    </row>
    <row r="28" spans="1:38" ht="11.25" customHeight="1" x14ac:dyDescent="0.2">
      <c r="A28" s="62" t="s">
        <v>146</v>
      </c>
      <c r="B28" s="63" t="s">
        <v>65</v>
      </c>
      <c r="C28" s="64" t="s">
        <v>6</v>
      </c>
      <c r="D28" s="64" t="s">
        <v>8</v>
      </c>
      <c r="E28" s="64" t="s">
        <v>7</v>
      </c>
      <c r="F28" s="64" t="s">
        <v>116</v>
      </c>
      <c r="G28" s="64" t="str">
        <f t="shared" si="7"/>
        <v>Sekibor1M</v>
      </c>
      <c r="H28" s="62" t="str">
        <f t="shared" si="8"/>
        <v>SEKAB3S25Y_Quote</v>
      </c>
      <c r="I28" s="159" t="str">
        <f t="shared" si="9"/>
        <v>SEK1S3S25Y_Quote</v>
      </c>
      <c r="J28" s="67" t="str">
        <f>_xll.qlSwapRateHelper2(,H28,2,B28,Calendar,D28,E28,F28,G28,I28,C28,Discounting,PillarDate,,Permanent,Trigger,ObjectOverwrite)</f>
        <v>obj_00129#0000</v>
      </c>
      <c r="K28" s="51"/>
      <c r="L28" s="10" t="str">
        <f t="shared" si="5"/>
        <v>BasSw</v>
      </c>
      <c r="M28" s="98" t="str">
        <f t="shared" si="6"/>
        <v>obj_0012a#0000</v>
      </c>
      <c r="N28" s="148" t="str">
        <f>IFERROR(_xll.qlRateHelperQuoteName(M28,Trigger),"--")</f>
        <v>SEKAB3S30Y_Quote</v>
      </c>
      <c r="O28" s="102">
        <f>IFERROR(_xll.qlRateHelperQuoteValue($M28,Trigger),"--")</f>
        <v>2.2249999999999995E-2</v>
      </c>
      <c r="P28" s="143" t="b">
        <v>1</v>
      </c>
      <c r="Q28" s="98">
        <v>50</v>
      </c>
      <c r="R28" s="98">
        <v>1</v>
      </c>
      <c r="S28" s="103">
        <f>IFERROR(_xll.qlRateHelperEarliestDate(M28,Trigger),"--")</f>
        <v>42356</v>
      </c>
      <c r="T28" s="103">
        <f>IFERROR(_xll.qlRateHelperPillarDate(M28,Trigger),"--")</f>
        <v>53314</v>
      </c>
      <c r="V28" s="4" t="str">
        <f t="shared" si="1"/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#NUM!</v>
      </c>
      <c r="AD28" s="84"/>
    </row>
    <row r="29" spans="1:38" ht="11.25" customHeight="1" x14ac:dyDescent="0.2">
      <c r="A29" s="62" t="s">
        <v>146</v>
      </c>
      <c r="B29" s="63" t="s">
        <v>66</v>
      </c>
      <c r="C29" s="64" t="s">
        <v>6</v>
      </c>
      <c r="D29" s="64" t="s">
        <v>8</v>
      </c>
      <c r="E29" s="64" t="s">
        <v>7</v>
      </c>
      <c r="F29" s="64" t="s">
        <v>116</v>
      </c>
      <c r="G29" s="64" t="str">
        <f t="shared" si="7"/>
        <v>Sekibor1M</v>
      </c>
      <c r="H29" s="62" t="str">
        <f t="shared" si="8"/>
        <v>SEKAB3S27Y_Quote</v>
      </c>
      <c r="I29" s="159" t="str">
        <f t="shared" si="9"/>
        <v>SEK1S3S27Y_Quote</v>
      </c>
      <c r="J29" s="67"/>
      <c r="K29" s="51"/>
      <c r="L29" s="10" t="str">
        <f t="shared" si="5"/>
        <v>BasSw</v>
      </c>
      <c r="M29" s="98" t="str">
        <f t="shared" si="6"/>
        <v>--</v>
      </c>
      <c r="N29" s="148" t="str">
        <f>IFERROR(_xll.qlRateHelperQuoteName(M29,Trigger),"--")</f>
        <v>--</v>
      </c>
      <c r="O29" s="102" t="str">
        <f>IFERROR(_xll.qlRateHelperQuoteValue($M29,Trigger),"--")</f>
        <v>--</v>
      </c>
      <c r="P29" s="143" t="b">
        <v>0</v>
      </c>
      <c r="Q29" s="98">
        <v>50</v>
      </c>
      <c r="R29" s="98">
        <v>1</v>
      </c>
      <c r="S29" s="103" t="str">
        <f>IFERROR(_xll.qlRateHelperEarliestDate(M29,Trigger),"--")</f>
        <v>--</v>
      </c>
      <c r="T29" s="103" t="str">
        <f>IFERROR(_xll.qlRateHelperPillarDate(M29,Trigger),"--")</f>
        <v>--</v>
      </c>
      <c r="V29" s="4" t="str">
        <f t="shared" si="1"/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#NUM!</v>
      </c>
      <c r="AD29" s="84"/>
    </row>
    <row r="30" spans="1:38" ht="11.25" customHeight="1" x14ac:dyDescent="0.2">
      <c r="A30" s="62" t="s">
        <v>146</v>
      </c>
      <c r="B30" s="63" t="s">
        <v>67</v>
      </c>
      <c r="C30" s="64" t="s">
        <v>6</v>
      </c>
      <c r="D30" s="64" t="s">
        <v>8</v>
      </c>
      <c r="E30" s="64" t="s">
        <v>7</v>
      </c>
      <c r="F30" s="64" t="s">
        <v>116</v>
      </c>
      <c r="G30" s="64" t="str">
        <f t="shared" si="7"/>
        <v>Sekibor1M</v>
      </c>
      <c r="H30" s="62" t="str">
        <f t="shared" si="8"/>
        <v>SEKAB3S30Y_Quote</v>
      </c>
      <c r="I30" s="159" t="str">
        <f t="shared" si="9"/>
        <v>SEK1S3S30Y_Quote</v>
      </c>
      <c r="J30" s="67" t="str">
        <f>_xll.qlSwapRateHelper2(,H30,2,B30,Calendar,D30,E30,F30,G30,I30,C30,Discounting,PillarDate,,Permanent,Trigger,ObjectOverwrite)</f>
        <v>obj_0012a#0000</v>
      </c>
      <c r="K30" s="51"/>
      <c r="L30" s="10" t="str">
        <f t="shared" si="5"/>
        <v>BasSw</v>
      </c>
      <c r="M30" s="98" t="str">
        <f t="shared" si="6"/>
        <v>--</v>
      </c>
      <c r="N30" s="148" t="str">
        <f>IFERROR(_xll.qlRateHelperQuoteName(M30,Trigger),"--")</f>
        <v>--</v>
      </c>
      <c r="O30" s="102" t="str">
        <f>IFERROR(_xll.qlRateHelperQuoteValue($M30,Trigger),"--")</f>
        <v>--</v>
      </c>
      <c r="P30" s="143" t="b">
        <v>0</v>
      </c>
      <c r="Q30" s="98">
        <v>50</v>
      </c>
      <c r="R30" s="98">
        <v>1</v>
      </c>
      <c r="S30" s="103" t="str">
        <f>IFERROR(_xll.qlRateHelperEarliestDate(M30,Trigger),"--")</f>
        <v>--</v>
      </c>
      <c r="T30" s="103" t="str">
        <f>IFERROR(_xll.qlRateHelperPillarDate(M30,Trigger),"--")</f>
        <v>--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#NUM!</v>
      </c>
      <c r="AD30" s="84"/>
    </row>
    <row r="31" spans="1:38" ht="11.25" customHeight="1" x14ac:dyDescent="0.2">
      <c r="A31" s="62" t="s">
        <v>146</v>
      </c>
      <c r="B31" s="63" t="s">
        <v>68</v>
      </c>
      <c r="C31" s="64" t="s">
        <v>6</v>
      </c>
      <c r="D31" s="64" t="s">
        <v>8</v>
      </c>
      <c r="E31" s="64" t="s">
        <v>7</v>
      </c>
      <c r="F31" s="64" t="s">
        <v>116</v>
      </c>
      <c r="G31" s="64" t="str">
        <f t="shared" si="7"/>
        <v>Sekibor1M</v>
      </c>
      <c r="H31" s="62" t="str">
        <f t="shared" si="8"/>
        <v>SEKAB3S35Y_Quote</v>
      </c>
      <c r="I31" s="159" t="str">
        <f t="shared" si="9"/>
        <v>SEK1S3S35Y_Quote</v>
      </c>
      <c r="J31" s="67"/>
      <c r="K31" s="51"/>
      <c r="L31" s="10" t="str">
        <f t="shared" si="5"/>
        <v>BasSw</v>
      </c>
      <c r="M31" s="98" t="str">
        <f t="shared" si="6"/>
        <v>--</v>
      </c>
      <c r="N31" s="148" t="str">
        <f>IFERROR(_xll.qlRateHelperQuoteName(M31,Trigger),"--")</f>
        <v>--</v>
      </c>
      <c r="O31" s="102" t="str">
        <f>IFERROR(_xll.qlRateHelperQuoteValue($M31,Trigger),"--")</f>
        <v>--</v>
      </c>
      <c r="P31" s="143" t="b">
        <v>0</v>
      </c>
      <c r="Q31" s="98">
        <v>50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#NUM!</v>
      </c>
      <c r="AD31" s="84"/>
    </row>
    <row r="32" spans="1:38" ht="11.25" customHeight="1" x14ac:dyDescent="0.2">
      <c r="A32" s="62" t="s">
        <v>146</v>
      </c>
      <c r="B32" s="63" t="s">
        <v>69</v>
      </c>
      <c r="C32" s="64" t="s">
        <v>6</v>
      </c>
      <c r="D32" s="64" t="s">
        <v>8</v>
      </c>
      <c r="E32" s="64" t="s">
        <v>7</v>
      </c>
      <c r="F32" s="64" t="s">
        <v>116</v>
      </c>
      <c r="G32" s="64" t="str">
        <f t="shared" si="7"/>
        <v>Sekibor1M</v>
      </c>
      <c r="H32" s="62" t="str">
        <f t="shared" si="8"/>
        <v>SEKAB3S40Y_Quote</v>
      </c>
      <c r="I32" s="159" t="str">
        <f t="shared" si="9"/>
        <v>SEK1S3S40Y_Quote</v>
      </c>
      <c r="J32" s="67"/>
      <c r="K32" s="51"/>
      <c r="L32" s="11" t="str">
        <f t="shared" si="5"/>
        <v>BasSw</v>
      </c>
      <c r="M32" s="99" t="str">
        <f t="shared" si="6"/>
        <v>--</v>
      </c>
      <c r="N32" s="149" t="str">
        <f>IFERROR(_xll.qlRateHelperQuoteName(M32,Trigger),"--")</f>
        <v>--</v>
      </c>
      <c r="O32" s="105" t="str">
        <f>IFERROR(_xll.qlRateHelperQuoteValue($M32,Trigger),"--")</f>
        <v>--</v>
      </c>
      <c r="P32" s="146" t="b">
        <v>0</v>
      </c>
      <c r="Q32" s="99">
        <v>50</v>
      </c>
      <c r="R32" s="99">
        <v>1</v>
      </c>
      <c r="S32" s="106" t="str">
        <f>IFERROR(_xll.qlRateHelperEarliestDate(M32,Trigger),"--")</f>
        <v>--</v>
      </c>
      <c r="T32" s="106" t="str">
        <f>IFERROR(_xll.qlRateHelperPillarDate(M32,Trigger),"--")</f>
        <v>--</v>
      </c>
      <c r="V32" s="6" t="str">
        <f t="shared" si="1"/>
        <v/>
      </c>
      <c r="W32" s="6" t="e">
        <v>#N/A</v>
      </c>
      <c r="X32" s="6" t="str">
        <f>IFERROR(_xll.qlRateHelperQuoteName(W32,Trigger),"")</f>
        <v/>
      </c>
      <c r="Y32" s="83" t="str">
        <f>IFERROR(_xll.qlRateHelperRate(W32,Trigger),"")</f>
        <v/>
      </c>
      <c r="Z32" s="109" t="str">
        <f>IF(ISERROR(_xll.qlSwapRateHelperSpread($W32)),IF(ISERROR(_xll.qlFuturesRateHelperConvexityAdjustment($W32)),"",_xll.qlFuturesRateHelperConvexityAdjustment($W32)),_xll.qlSwapRateHelperSpread($W32))</f>
        <v/>
      </c>
      <c r="AA32" s="12" t="str">
        <f>IFERROR(_xll.qlRateHelperEarliestDate(W32,Trigger),"")</f>
        <v/>
      </c>
      <c r="AB32" s="12" t="str">
        <f>IFERROR(_xll.qlRateHelperPillarDate(W32,Trigger),"")</f>
        <v/>
      </c>
      <c r="AC32" s="82" t="e">
        <v>#NUM!</v>
      </c>
      <c r="AD32" s="84"/>
    </row>
    <row r="33" spans="1:30" ht="11.25" customHeight="1" x14ac:dyDescent="0.2">
      <c r="A33" s="62" t="s">
        <v>146</v>
      </c>
      <c r="B33" s="63" t="s">
        <v>139</v>
      </c>
      <c r="C33" s="64" t="s">
        <v>6</v>
      </c>
      <c r="D33" s="64" t="s">
        <v>8</v>
      </c>
      <c r="E33" s="64" t="s">
        <v>7</v>
      </c>
      <c r="F33" s="64" t="s">
        <v>116</v>
      </c>
      <c r="G33" s="64" t="str">
        <f t="shared" si="7"/>
        <v>Sekibor1M</v>
      </c>
      <c r="H33" s="62" t="str">
        <f t="shared" si="8"/>
        <v>SEKAB3S45Y_Quote</v>
      </c>
      <c r="I33" s="159" t="str">
        <f t="shared" si="9"/>
        <v>SEK1S3S45Y_Quote</v>
      </c>
      <c r="J33" s="67"/>
      <c r="K33" s="51"/>
      <c r="L33" s="175"/>
      <c r="AD33" s="84"/>
    </row>
    <row r="34" spans="1:30" ht="11.25" customHeight="1" x14ac:dyDescent="0.2">
      <c r="A34" s="1" t="s">
        <v>146</v>
      </c>
      <c r="B34" s="8" t="s">
        <v>70</v>
      </c>
      <c r="C34" s="7" t="s">
        <v>6</v>
      </c>
      <c r="D34" s="7" t="s">
        <v>8</v>
      </c>
      <c r="E34" s="7" t="s">
        <v>7</v>
      </c>
      <c r="F34" s="7" t="s">
        <v>116</v>
      </c>
      <c r="G34" s="7" t="str">
        <f t="shared" si="7"/>
        <v>Sekibor1M</v>
      </c>
      <c r="H34" s="1" t="str">
        <f t="shared" si="8"/>
        <v>SEKAB3S50Y_Quote</v>
      </c>
      <c r="I34" s="160" t="str">
        <f t="shared" si="9"/>
        <v>SEK1S3S50Y_Quote</v>
      </c>
      <c r="J34" s="3"/>
      <c r="K34" s="51"/>
      <c r="AD34" s="84"/>
    </row>
    <row r="35" spans="1:30" ht="11.25" customHeight="1" x14ac:dyDescent="0.2">
      <c r="K35" s="51"/>
    </row>
    <row r="36" spans="1:30" ht="11.25" customHeight="1" x14ac:dyDescent="0.2">
      <c r="K36" s="51"/>
    </row>
    <row r="37" spans="1:30" ht="11.25" customHeight="1" x14ac:dyDescent="0.2">
      <c r="K37" s="51"/>
    </row>
    <row r="38" spans="1:30" ht="11.25" customHeight="1" x14ac:dyDescent="0.2">
      <c r="K38" s="51"/>
    </row>
    <row r="39" spans="1:30" ht="11.25" customHeight="1" x14ac:dyDescent="0.2">
      <c r="K39" s="51"/>
    </row>
    <row r="40" spans="1:30" ht="11.25" customHeight="1" x14ac:dyDescent="0.2">
      <c r="K40" s="51"/>
    </row>
    <row r="41" spans="1:30" ht="11.25" customHeight="1" x14ac:dyDescent="0.2"/>
    <row r="42" spans="1:30" ht="11.25" customHeight="1" x14ac:dyDescent="0.2"/>
    <row r="43" spans="1:30" ht="11.25" customHeight="1" x14ac:dyDescent="0.2"/>
    <row r="44" spans="1:30" ht="11.25" customHeight="1" x14ac:dyDescent="0.2"/>
    <row r="45" spans="1:30" ht="11.25" customHeight="1" x14ac:dyDescent="0.2"/>
    <row r="46" spans="1:30" ht="11.25" customHeight="1" x14ac:dyDescent="0.2"/>
    <row r="47" spans="1:30" ht="11.25" customHeight="1" x14ac:dyDescent="0.2"/>
    <row r="48" spans="1:30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49" t="s">
        <v>37</v>
      </c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D10:D34">
      <formula1>"Annual,Semiannual,EveryFourthMonth,Quarterly,Bimonthly,Monthly,Biweekly,Weekly,Daily,Once,NoFrequency"</formula1>
    </dataValidation>
    <dataValidation type="list" allowBlank="1" showInputMessage="1" showErrorMessage="1" sqref="E3:E6 E10:E34">
      <formula1>"Following,Modified Following,Preceding,Modified Preceding,Unadjusted,Half-Month Modified Following"</formula1>
    </dataValidation>
    <dataValidation type="list" allowBlank="1" showInputMessage="1" showErrorMessage="1" sqref="F3:F6 F10:F34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47</vt:i4>
      </vt:variant>
    </vt:vector>
  </HeadingPairs>
  <TitlesOfParts>
    <vt:vector size="52" baseType="lpstr">
      <vt:lpstr>GeneralSettings</vt:lpstr>
      <vt:lpstr>SEKON</vt:lpstr>
      <vt:lpstr>SEK3M</vt:lpstr>
      <vt:lpstr>SEK6M</vt:lpstr>
      <vt:lpstr>SEK1M</vt:lpstr>
      <vt:lpstr>Calendar</vt:lpstr>
      <vt:lpstr>Currency</vt:lpstr>
      <vt:lpstr>Discounting</vt:lpstr>
      <vt:lpstr>Evaluationdate</vt:lpstr>
      <vt:lpstr>FamilyName</vt:lpstr>
      <vt:lpstr>SEK1M!IncludeFlag</vt:lpstr>
      <vt:lpstr>SEK3M!IncludeFlag</vt:lpstr>
      <vt:lpstr>SEK6M!IncludeFlag</vt:lpstr>
      <vt:lpstr>SEKON!IncludeFlag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SEK1M!MinDistance</vt:lpstr>
      <vt:lpstr>SEK3M!MinDistance</vt:lpstr>
      <vt:lpstr>SEK6M!MinDistance</vt:lpstr>
      <vt:lpstr>SEKON!MinDistance</vt:lpstr>
      <vt:lpstr>ObjectOverwrite</vt:lpstr>
      <vt:lpstr>Permanent</vt:lpstr>
      <vt:lpstr>PillarDate</vt:lpstr>
      <vt:lpstr>SEK1M!Priority</vt:lpstr>
      <vt:lpstr>SEK3M!Priority</vt:lpstr>
      <vt:lpstr>SEK6M!Priority</vt:lpstr>
      <vt:lpstr>SEKON!Priority</vt:lpstr>
      <vt:lpstr>QuoteSuffix</vt:lpstr>
      <vt:lpstr>SEK1M!RateHelpers</vt:lpstr>
      <vt:lpstr>SEK3M!RateHelpers</vt:lpstr>
      <vt:lpstr>SEK6M!RateHelpers</vt:lpstr>
      <vt:lpstr>SEKON!RateHelpers</vt:lpstr>
      <vt:lpstr>RateHelpers1M</vt:lpstr>
      <vt:lpstr>RateHelpers3M</vt:lpstr>
      <vt:lpstr>RateHelpers6M</vt:lpstr>
      <vt:lpstr>RateHelpersON</vt:lpstr>
      <vt:lpstr>Settlementdate</vt:lpstr>
      <vt:lpstr>SEK1M!Tenor</vt:lpstr>
      <vt:lpstr>SEK3M!Tenor</vt:lpstr>
      <vt:lpstr>SEK6M!Tenor</vt:lpstr>
      <vt:lpstr>Trigger</vt:lpstr>
      <vt:lpstr>YieldCurve_1M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2015-12-16T14:19:24Z</dcterms:modified>
</cp:coreProperties>
</file>